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045" windowHeight="5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<sst xmlns="http://schemas.openxmlformats.org/spreadsheetml/2006/main" count="332" uniqueCount="200">
  <si>
    <t>Lead Tiles</t>
  </si>
  <si>
    <t>Scintillator Tiles</t>
  </si>
  <si>
    <t>Scintillator mould</t>
  </si>
  <si>
    <t>APD</t>
  </si>
  <si>
    <t>Preampl</t>
  </si>
  <si>
    <t>Bond Paper</t>
  </si>
  <si>
    <t>Front Plate</t>
  </si>
  <si>
    <t>Compression Plate</t>
  </si>
  <si>
    <t>Back Plate</t>
  </si>
  <si>
    <t>Fiber Bundle Terminator</t>
  </si>
  <si>
    <t>Belleville washers</t>
  </si>
  <si>
    <t>Plunger Pin</t>
  </si>
  <si>
    <t>Ø8 Dowel pin</t>
  </si>
  <si>
    <t>Ø8/10 DUB dry bearing</t>
  </si>
  <si>
    <t>M5 studs</t>
  </si>
  <si>
    <t>M5 nuts and washers</t>
  </si>
  <si>
    <t>Calibration LED</t>
  </si>
  <si>
    <t>Strongback</t>
  </si>
  <si>
    <t>Cover Plate</t>
  </si>
  <si>
    <t>Screws for Cover Plate</t>
  </si>
  <si>
    <t>T-cards</t>
  </si>
  <si>
    <t>Fixations for T-Cards</t>
  </si>
  <si>
    <t>Molex Cables and Connectors</t>
  </si>
  <si>
    <t>Electronic crate</t>
  </si>
  <si>
    <t>LNF</t>
  </si>
  <si>
    <t>SUB</t>
  </si>
  <si>
    <t>WSU</t>
  </si>
  <si>
    <t>INFN</t>
  </si>
  <si>
    <t>?</t>
  </si>
  <si>
    <t>M2.5 Screws for Straps</t>
  </si>
  <si>
    <t xml:space="preserve">Side black paper </t>
  </si>
  <si>
    <t>Contact</t>
  </si>
  <si>
    <t>Di Nezza</t>
  </si>
  <si>
    <t>Drawing</t>
  </si>
  <si>
    <t>Rev.A</t>
  </si>
  <si>
    <t>Goslar</t>
  </si>
  <si>
    <t>Uniplast</t>
  </si>
  <si>
    <t>Kuraray</t>
  </si>
  <si>
    <t>Halogen free ?</t>
  </si>
  <si>
    <t>Delivery</t>
  </si>
  <si>
    <t>Requested Companies</t>
  </si>
  <si>
    <t>Appr.</t>
  </si>
  <si>
    <t>Goslar/Lemer/Cecom</t>
  </si>
  <si>
    <t>not need</t>
  </si>
  <si>
    <t>Goslar(2.69)/Lemer(3.45)/Cecom(3.55)</t>
  </si>
  <si>
    <t>B3</t>
  </si>
  <si>
    <t>Ronchetti</t>
  </si>
  <si>
    <t>Cut &amp; paint for scintillators</t>
  </si>
  <si>
    <t>Meccanotecnica,B3,Generaltenica,Cecom</t>
  </si>
  <si>
    <t>Meccanotec.</t>
  </si>
  <si>
    <t>Bianchi</t>
  </si>
  <si>
    <t>WLS fiber</t>
  </si>
  <si>
    <t>order with US</t>
  </si>
  <si>
    <t>US vs EU mould</t>
  </si>
  <si>
    <t>Dialinas</t>
  </si>
  <si>
    <t>SM cradle (crate)</t>
  </si>
  <si>
    <t>CT, LNF</t>
  </si>
  <si>
    <t>Palmeri, Di Nezza</t>
  </si>
  <si>
    <t>4 weeks delivery</t>
  </si>
  <si>
    <t>2month drawing,1 month fabrication</t>
  </si>
  <si>
    <t>Roy</t>
  </si>
  <si>
    <t>M6 screw for load set</t>
  </si>
  <si>
    <t>Ferrule for Cal. LED</t>
  </si>
  <si>
    <t>CT</t>
  </si>
  <si>
    <t>08212DUB</t>
  </si>
  <si>
    <t>Schnorr</t>
  </si>
  <si>
    <t>in stock</t>
  </si>
  <si>
    <t>GGB</t>
  </si>
  <si>
    <t>Latest modification =</t>
  </si>
  <si>
    <t>by</t>
  </si>
  <si>
    <t>3M,WSU, (SONY mod. PET 7586-25)</t>
  </si>
  <si>
    <t>Side Straps welding</t>
  </si>
  <si>
    <t>Di Nezza / Dialinas</t>
  </si>
  <si>
    <t>delivered in rolls to be cut</t>
  </si>
  <si>
    <t>Lceram</t>
  </si>
  <si>
    <t>26K214_A</t>
  </si>
  <si>
    <t>Lceram (GeneralTecnica,Cecom,B3,Meccanotecnica)</t>
  </si>
  <si>
    <t>Sony</t>
  </si>
  <si>
    <t>Delivered</t>
  </si>
  <si>
    <t>WSU (3M,Fabriano,NANTES) German Companies</t>
  </si>
  <si>
    <t>Lceram, LMP(Amicuzzi), CECOM (WSU for everybody. Waiting for an offer)</t>
  </si>
  <si>
    <t>for 1.5 SM L=367 mm (US: ordered for all the US SMs)</t>
  </si>
  <si>
    <t>APD Mount</t>
  </si>
  <si>
    <t>Di Nezza, Ronchetti</t>
  </si>
  <si>
    <t>Pasquale, Federico</t>
  </si>
  <si>
    <t>Light guide</t>
  </si>
  <si>
    <t>APD manifold</t>
  </si>
  <si>
    <t>April</t>
  </si>
  <si>
    <t>Lead Tool</t>
  </si>
  <si>
    <t>cut for 3 EU SM</t>
  </si>
  <si>
    <t xml:space="preserve">Uniplast </t>
  </si>
  <si>
    <t>26K212A</t>
  </si>
  <si>
    <t>INFN order (37 E/each)</t>
  </si>
  <si>
    <t>June</t>
  </si>
  <si>
    <t>144 - 1.3 mm drills (regular) + chamfer</t>
  </si>
  <si>
    <t xml:space="preserve">Ronchetti </t>
  </si>
  <si>
    <t>Ronchetti,Noto</t>
  </si>
  <si>
    <t>Comment</t>
  </si>
  <si>
    <t>Institution</t>
  </si>
  <si>
    <t xml:space="preserve">Drawing Status </t>
  </si>
  <si>
    <t>Chosen Company</t>
  </si>
  <si>
    <t>Cost</t>
  </si>
  <si>
    <t>Components needed for 1st EU SM</t>
  </si>
  <si>
    <t>42k</t>
  </si>
  <si>
    <t>11k</t>
  </si>
  <si>
    <t>12k</t>
  </si>
  <si>
    <t>5k</t>
  </si>
  <si>
    <t>17k</t>
  </si>
  <si>
    <t>6k</t>
  </si>
  <si>
    <t>8k</t>
  </si>
  <si>
    <t>40k</t>
  </si>
  <si>
    <t>12k +36k</t>
  </si>
  <si>
    <t>Awes</t>
  </si>
  <si>
    <t>Badala`</t>
  </si>
  <si>
    <t>26K204_C</t>
  </si>
  <si>
    <t>laser welding  7Euro x welding</t>
  </si>
  <si>
    <t>(7E foil(3SM)+flange+tooling)</t>
  </si>
  <si>
    <t xml:space="preserve"> 0.54 E/piece machined Stainless steel(corea .35$/piece brass)</t>
  </si>
  <si>
    <t>hamamatsu/cern</t>
  </si>
  <si>
    <t>september</t>
  </si>
  <si>
    <t>PHOS supplier</t>
  </si>
  <si>
    <t>August [?]</t>
  </si>
  <si>
    <t>drawing !</t>
  </si>
  <si>
    <t>Inquiry !</t>
  </si>
  <si>
    <t>5 (3+2) pieces  per Strip</t>
  </si>
  <si>
    <t>O-rings for APD</t>
  </si>
  <si>
    <t>O-rings for FT</t>
  </si>
  <si>
    <t>CERN</t>
  </si>
  <si>
    <t>4 weeks delivery (1.5 E/part)</t>
  </si>
  <si>
    <t>CERN/phos</t>
  </si>
  <si>
    <t>cables+connectors (1.35 E/piece)</t>
  </si>
  <si>
    <t>Screws for T-card fixation to T card</t>
  </si>
  <si>
    <t>stud for T-card fixation to SB</t>
  </si>
  <si>
    <t>custom cut for 1st module</t>
  </si>
  <si>
    <t>Read-Out cables and connectors</t>
  </si>
  <si>
    <t>clips for R.O. cables</t>
  </si>
  <si>
    <t>end of july</t>
  </si>
  <si>
    <t>june</t>
  </si>
  <si>
    <t>4 orderd (+ proto) check if bars are included in the order</t>
  </si>
  <si>
    <t>drawing released (put link)</t>
  </si>
  <si>
    <t>complete</t>
  </si>
  <si>
    <t xml:space="preserve">M16 Screws for fixing the SB on the SM </t>
  </si>
  <si>
    <t>SM Fraction</t>
  </si>
  <si>
    <t xml:space="preserve">Components Amount </t>
  </si>
  <si>
    <t>problem with US transaction (exchange w/ belleville washers)</t>
  </si>
  <si>
    <t>LPSC, SUBA</t>
  </si>
  <si>
    <t>LR-LPSC</t>
  </si>
  <si>
    <t>LRA</t>
  </si>
  <si>
    <t>Dinezza, Hasch</t>
  </si>
  <si>
    <t>Lceram, LMP(Amicuzzi), CECOM (WSU for everybody.</t>
  </si>
  <si>
    <t>SUBA</t>
  </si>
  <si>
    <t>Spring clip</t>
  </si>
  <si>
    <t>Cormier, Pompei</t>
  </si>
  <si>
    <t>APPROVED</t>
  </si>
  <si>
    <t>2 x  C HC screws, M10-40, Stainless steel A2-70
4 x  C HC screws, M10-35, Stainless steel A2-70</t>
  </si>
  <si>
    <t>26K205A</t>
  </si>
  <si>
    <t xml:space="preserve">26K206_B </t>
  </si>
  <si>
    <t>26K200J</t>
  </si>
  <si>
    <t>prod</t>
  </si>
  <si>
    <t>Tooling commissioned</t>
  </si>
  <si>
    <t>26K201I</t>
  </si>
  <si>
    <t>26K202F</t>
  </si>
  <si>
    <t>26K211B (half,full)</t>
  </si>
  <si>
    <t>underway</t>
  </si>
  <si>
    <t>26K207D</t>
  </si>
  <si>
    <t>26K309C</t>
  </si>
  <si>
    <t>26K307B</t>
  </si>
  <si>
    <t>26K308A</t>
  </si>
  <si>
    <t>26K209D</t>
  </si>
  <si>
    <t>Side Strap Flange</t>
  </si>
  <si>
    <t>Side Straps foil</t>
  </si>
  <si>
    <t>26K208H</t>
  </si>
  <si>
    <t>26K203E</t>
  </si>
  <si>
    <t>26K214C</t>
  </si>
  <si>
    <t>DRAWING CODES</t>
  </si>
  <si>
    <t>LASER CUT AND HOLES 4 basic sizes (0.035 E/sheet + 3KE Tool) - waiting for final quote.(correct 2x76 layers --&gt; 2x77)</t>
  </si>
  <si>
    <t>13.5k</t>
  </si>
  <si>
    <t>(ordered) packed</t>
  </si>
  <si>
    <t>Meccanotecnica, B3, CECOM</t>
  </si>
  <si>
    <t>15K</t>
  </si>
  <si>
    <t xml:space="preserve">KRICK (Germany)  SOUTHWORTH PAPER </t>
  </si>
  <si>
    <t>??</t>
  </si>
  <si>
    <t>B3 (2.05 /pcs)</t>
  </si>
  <si>
    <t>15/6/2008</t>
  </si>
  <si>
    <t>Next batch should be production</t>
  </si>
  <si>
    <t>end of august</t>
  </si>
  <si>
    <t>ISOLCERAM</t>
  </si>
  <si>
    <t>mid-aug</t>
  </si>
  <si>
    <t>Modified piston/plunger</t>
  </si>
  <si>
    <t>N/A</t>
  </si>
  <si>
    <t>to fix BP OPQRS error</t>
  </si>
  <si>
    <t>96 blocks Aug 10, Sept 15 120 blocks, Oct-15 remaining 72 blocks</t>
  </si>
  <si>
    <t xml:space="preserve">Jul 10, delivered for processing, final Aug 10 </t>
  </si>
  <si>
    <t>MT (0.77E), delivery: mid-aug</t>
  </si>
  <si>
    <t>delayed</t>
  </si>
  <si>
    <t>dim. Check ok</t>
  </si>
  <si>
    <t>20000 pcs July - August [?]</t>
  </si>
  <si>
    <t>Fresh tiles tested</t>
  </si>
  <si>
    <t>1 rool Delivered, 2nd to be odrered</t>
  </si>
  <si>
    <t>Mask for black paper cut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</si>
</sst>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20"/>
      <name val="Calibri"/>
      <family val="2"/>
    </font>
    <font>
      <i/>
      <sz val="14"/>
      <color indexed="20"/>
      <name val="Calibri"/>
      <family val="2"/>
    </font>
    <font>
      <sz val="11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9C0006"/>
      <name val="Calibri"/>
      <family val="2"/>
    </font>
    <font>
      <i/>
      <sz val="14"/>
      <color rgb="FF9C0006"/>
      <name val="Calibri"/>
      <family val="2"/>
    </font>
    <font>
      <sz val="11"/>
      <color rgb="FF9C0006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double">
        <color rgb="FF3F3F3F"/>
      </right>
      <top style="medium"/>
      <bottom style="medium"/>
    </border>
    <border>
      <left style="double">
        <color rgb="FF3F3F3F"/>
      </left>
      <right style="double">
        <color rgb="FF3F3F3F"/>
      </right>
      <top style="medium"/>
      <bottom style="medium"/>
    </border>
    <border>
      <left style="double">
        <color rgb="FF3F3F3F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26" borderId="0" xfId="39" applyFont="1" applyAlignment="1">
      <alignment horizontal="center" vertical="center"/>
    </xf>
    <xf numFmtId="14" fontId="49" fillId="26" borderId="0" xfId="39" applyNumberFormat="1" applyFont="1" applyAlignment="1">
      <alignment horizontal="center" vertical="center"/>
    </xf>
    <xf numFmtId="0" fontId="50" fillId="26" borderId="0" xfId="39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53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51" fillId="26" borderId="0" xfId="39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5" fillId="28" borderId="11" xfId="41" applyBorder="1" applyAlignment="1">
      <alignment horizontal="center" vertical="center" wrapText="1"/>
    </xf>
    <xf numFmtId="0" fontId="35" fillId="28" borderId="12" xfId="41" applyBorder="1" applyAlignment="1">
      <alignment horizontal="center" vertical="center" wrapText="1"/>
    </xf>
    <xf numFmtId="0" fontId="35" fillId="28" borderId="13" xfId="4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3" fillId="0" borderId="0" xfId="53" applyBorder="1" applyAlignment="1" applyProtection="1">
      <alignment horizontal="center" vertical="center" wrapText="1"/>
      <protection/>
    </xf>
    <xf numFmtId="0" fontId="3" fillId="35" borderId="0" xfId="53" applyFill="1" applyBorder="1" applyAlignment="1" applyProtection="1">
      <alignment horizontal="center" vertical="center" wrapText="1"/>
      <protection/>
    </xf>
    <xf numFmtId="0" fontId="34" fillId="27" borderId="1" xfId="40" applyAlignment="1">
      <alignment horizontal="center" vertical="center" wrapText="1"/>
    </xf>
    <xf numFmtId="0" fontId="3" fillId="27" borderId="1" xfId="53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 wrapText="1"/>
    </xf>
    <xf numFmtId="16" fontId="6" fillId="36" borderId="0" xfId="0" applyNumberFormat="1" applyFont="1" applyFill="1" applyBorder="1" applyAlignment="1">
      <alignment horizontal="center" vertical="center" wrapText="1"/>
    </xf>
    <xf numFmtId="0" fontId="33" fillId="36" borderId="0" xfId="39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1" fillId="26" borderId="0" xfId="39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d22lf.lnf.infn.it/alice/emcal/production/drawings/lead/prod/26K204C.pdf" TargetMode="External" /><Relationship Id="rId2" Type="http://schemas.openxmlformats.org/officeDocument/2006/relationships/hyperlink" Target="https://ed22lf.lnf.infn.it/alice/emcal/production/drawings/bond-paper/prod/26K206B.pdf" TargetMode="External" /><Relationship Id="rId3" Type="http://schemas.openxmlformats.org/officeDocument/2006/relationships/hyperlink" Target="https://ed22lf.lnf.infn.it/alice/emcal/production/drawings/FBC/prod/26K200J.pdf" TargetMode="External" /><Relationship Id="rId4" Type="http://schemas.openxmlformats.org/officeDocument/2006/relationships/hyperlink" Target="https://ed22lf.lnf.infn.it/alice/emcal/production/drawings/FBC/prod/26K202F.pdf" TargetMode="External" /><Relationship Id="rId5" Type="http://schemas.openxmlformats.org/officeDocument/2006/relationships/hyperlink" Target="https://ed22lf.lnf.infn.it/alice/Mohttps:/ed22lf.lnf.infn.it/alice/emcal/production/drawings/FBC/prod/26K201I.pdfdule/Construction/Progetti%20AutoCad/LNF/PRODUCTION/FBC/revH/26K201H.pdf" TargetMode="External" /><Relationship Id="rId6" Type="http://schemas.openxmlformats.org/officeDocument/2006/relationships/hyperlink" Target="https://ed22lf.lnf.infn.it/alice/emcal/production/drawings/straps/prod/26K214C.pdf" TargetMode="External" /><Relationship Id="rId7" Type="http://schemas.openxmlformats.org/officeDocument/2006/relationships/hyperlink" Target="https://ed22lf.lnf.infn.it/alice/emcal/production/drawings/plastic-parts/prod/26K207D.pdf" TargetMode="External" /><Relationship Id="rId8" Type="http://schemas.openxmlformats.org/officeDocument/2006/relationships/hyperlink" Target="https://ed22lf.lnf.infn.it/alice/emcal/production/drawings/light-guide/prod/26K308A.pdf" TargetMode="External" /><Relationship Id="rId9" Type="http://schemas.openxmlformats.org/officeDocument/2006/relationships/hyperlink" Target="https://ed22lf.lnf.infn.it/alice/emcal/production/drawings/pins/prod/26K209D.pdf" TargetMode="External" /><Relationship Id="rId10" Type="http://schemas.openxmlformats.org/officeDocument/2006/relationships/hyperlink" Target="https://ed22lf.lnf.infn.it/alice/Module/Construction/Progetti%20AutoCad/LNF/PRODUCTION/pins/26K214A.pdf" TargetMode="External" /><Relationship Id="rId11" Type="http://schemas.openxmlformats.org/officeDocument/2006/relationships/hyperlink" Target="https://ed22lf.lnf.infn.it/alice/emcal/production/drawings/plastic-parts/prod/26K309C.pdf" TargetMode="External" /><Relationship Id="rId12" Type="http://schemas.openxmlformats.org/officeDocument/2006/relationships/hyperlink" Target="https://ed22lf.lnf.infn.it/alice/emcal/production/drawings/plastic-parts/prod/26K307B.pdf" TargetMode="External" /><Relationship Id="rId13" Type="http://schemas.openxmlformats.org/officeDocument/2006/relationships/hyperlink" Target="https://ed22lf.lnf.infn.it/alice/emcal/production/drawings/studs/prod/26K212A.pdf" TargetMode="External" /><Relationship Id="rId14" Type="http://schemas.openxmlformats.org/officeDocument/2006/relationships/hyperlink" Target="https://ed22lf.lnf.infn.it/alice/emcal/production/drawings/scint/prod/26K205A.pdf" TargetMode="External" /><Relationship Id="rId15" Type="http://schemas.openxmlformats.org/officeDocument/2006/relationships/hyperlink" Target="https://ed22lf.lnf.infn.it/alice/emcal/production/drawings/scint/prod/26K205A.pdf" TargetMode="External" /><Relationship Id="rId16" Type="http://schemas.openxmlformats.org/officeDocument/2006/relationships/hyperlink" Target="https://ed22lf.lnf.infn.it/alice/emcal/production/drawings/black%20sticker/prod/" TargetMode="External" /><Relationship Id="rId17" Type="http://schemas.openxmlformats.org/officeDocument/2006/relationships/hyperlink" Target="https://ed22lf.lnf.infn.it/alice/emcal/production/drawings/straps/prod/26K208H.pdf" TargetMode="External" /><Relationship Id="rId18" Type="http://schemas.openxmlformats.org/officeDocument/2006/relationships/hyperlink" Target="https://ed22lf.lnf.infn.it/alice/emcal/production/drawings/straps/prod/26K203E.pdf" TargetMode="External" /><Relationship Id="rId19" Type="http://schemas.openxmlformats.org/officeDocument/2006/relationships/hyperlink" Target="https://ed22lf.lnf.infn.it/alice/emcal/production/drawings/drawing_codes.xls" TargetMode="External" /><Relationship Id="rId20" Type="http://schemas.openxmlformats.org/officeDocument/2006/relationships/hyperlink" Target="https://ed22lf.lnf.infn.it/alice/Mohttps:/ed22lf.lnf.infn.it/alice/emcal/production/drawings/FBC/prod/26K201I.pdfdule/Construction/Progetti%20AutoCad/LNF/PRODUCTION/FBC/revH/26K201H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3"/>
  <sheetViews>
    <sheetView tabSelected="1" zoomScale="90" zoomScaleNormal="90" zoomScalePageLayoutView="0" workbookViewId="0" topLeftCell="A22">
      <selection activeCell="J16" sqref="J16"/>
    </sheetView>
  </sheetViews>
  <sheetFormatPr defaultColWidth="9.140625" defaultRowHeight="12.75"/>
  <cols>
    <col min="1" max="1" width="26.8515625" style="1" customWidth="1"/>
    <col min="2" max="2" width="11.57421875" style="1" customWidth="1"/>
    <col min="3" max="3" width="18.8515625" style="1" customWidth="1"/>
    <col min="4" max="4" width="20.00390625" style="1" customWidth="1"/>
    <col min="5" max="6" width="12.28125" style="1" customWidth="1"/>
    <col min="7" max="7" width="14.57421875" style="1" customWidth="1"/>
    <col min="8" max="8" width="18.7109375" style="1" customWidth="1"/>
    <col min="9" max="9" width="15.28125" style="1" customWidth="1"/>
    <col min="10" max="10" width="13.28125" style="1" customWidth="1"/>
    <col min="11" max="11" width="8.140625" style="1" customWidth="1"/>
    <col min="12" max="12" width="24.00390625" style="2" customWidth="1"/>
  </cols>
  <sheetData>
    <row r="1" spans="1:12" s="3" customFormat="1" ht="19.5" customHeight="1" thickBot="1">
      <c r="A1" s="6" t="s">
        <v>68</v>
      </c>
      <c r="B1" s="6"/>
      <c r="C1" s="7">
        <f ca="1">TODAY()</f>
        <v>39644</v>
      </c>
      <c r="D1" s="6"/>
      <c r="E1" s="6" t="s">
        <v>69</v>
      </c>
      <c r="F1" s="6"/>
      <c r="G1" s="6" t="s">
        <v>84</v>
      </c>
      <c r="H1" s="6"/>
      <c r="I1" s="6"/>
      <c r="J1" s="6"/>
      <c r="K1" s="6"/>
      <c r="L1" s="8"/>
    </row>
    <row r="2" spans="1:12" s="3" customFormat="1" ht="30.75" thickBot="1">
      <c r="A2" s="21" t="s">
        <v>102</v>
      </c>
      <c r="B2" s="22" t="s">
        <v>98</v>
      </c>
      <c r="C2" s="22" t="s">
        <v>31</v>
      </c>
      <c r="D2" s="22" t="s">
        <v>33</v>
      </c>
      <c r="E2" s="22" t="s">
        <v>99</v>
      </c>
      <c r="F2" s="22" t="s">
        <v>142</v>
      </c>
      <c r="G2" s="22" t="s">
        <v>143</v>
      </c>
      <c r="H2" s="22" t="s">
        <v>40</v>
      </c>
      <c r="I2" s="22" t="s">
        <v>100</v>
      </c>
      <c r="J2" s="22" t="s">
        <v>39</v>
      </c>
      <c r="K2" s="22" t="s">
        <v>101</v>
      </c>
      <c r="L2" s="23" t="s">
        <v>97</v>
      </c>
    </row>
    <row r="3" spans="1:12" s="3" customFormat="1" ht="20.25" customHeight="1">
      <c r="A3" s="29" t="s">
        <v>174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3" customFormat="1" ht="76.5">
      <c r="A4" s="31" t="s">
        <v>0</v>
      </c>
      <c r="B4" s="10" t="s">
        <v>24</v>
      </c>
      <c r="C4" s="10" t="s">
        <v>50</v>
      </c>
      <c r="D4" s="26" t="s">
        <v>114</v>
      </c>
      <c r="E4" s="15" t="s">
        <v>158</v>
      </c>
      <c r="F4" s="24">
        <f>G4/21088</f>
        <v>0.7784522003034902</v>
      </c>
      <c r="G4" s="10">
        <v>16416</v>
      </c>
      <c r="H4" s="12" t="s">
        <v>44</v>
      </c>
      <c r="I4" s="10" t="s">
        <v>35</v>
      </c>
      <c r="J4" s="13" t="s">
        <v>191</v>
      </c>
      <c r="K4" s="10" t="s">
        <v>103</v>
      </c>
      <c r="L4" s="14" t="s">
        <v>184</v>
      </c>
    </row>
    <row r="5" spans="1:12" s="3" customFormat="1" ht="12.75">
      <c r="A5" s="9" t="s">
        <v>88</v>
      </c>
      <c r="B5" s="10" t="s">
        <v>24</v>
      </c>
      <c r="C5" s="10" t="s">
        <v>50</v>
      </c>
      <c r="D5" s="10"/>
      <c r="E5" s="10"/>
      <c r="F5" s="24"/>
      <c r="G5" s="10">
        <v>1</v>
      </c>
      <c r="H5" s="10" t="s">
        <v>42</v>
      </c>
      <c r="I5" s="10" t="s">
        <v>35</v>
      </c>
      <c r="J5" s="13" t="s">
        <v>87</v>
      </c>
      <c r="K5" s="10" t="s">
        <v>104</v>
      </c>
      <c r="L5" s="14"/>
    </row>
    <row r="6" spans="1:12" s="3" customFormat="1" ht="51" customHeight="1">
      <c r="A6" s="31" t="s">
        <v>1</v>
      </c>
      <c r="B6" s="10" t="s">
        <v>24</v>
      </c>
      <c r="C6" s="10" t="s">
        <v>32</v>
      </c>
      <c r="D6" s="26" t="s">
        <v>155</v>
      </c>
      <c r="E6" s="15" t="s">
        <v>158</v>
      </c>
      <c r="F6" s="24">
        <f>G6/(288*77*4)</f>
        <v>1</v>
      </c>
      <c r="G6" s="10">
        <f>44352*2</f>
        <v>88704</v>
      </c>
      <c r="H6" s="34" t="s">
        <v>36</v>
      </c>
      <c r="I6" s="34"/>
      <c r="J6" s="10" t="s">
        <v>196</v>
      </c>
      <c r="K6" s="10" t="s">
        <v>105</v>
      </c>
      <c r="L6" s="14" t="s">
        <v>195</v>
      </c>
    </row>
    <row r="7" spans="1:12" s="3" customFormat="1" ht="12.75">
      <c r="A7" s="9" t="s">
        <v>2</v>
      </c>
      <c r="B7" s="10" t="s">
        <v>24</v>
      </c>
      <c r="C7" s="10" t="s">
        <v>32</v>
      </c>
      <c r="D7" s="10"/>
      <c r="E7" s="10"/>
      <c r="F7" s="24"/>
      <c r="G7" s="10">
        <v>1</v>
      </c>
      <c r="H7" s="34" t="s">
        <v>36</v>
      </c>
      <c r="I7" s="34"/>
      <c r="J7" s="10" t="s">
        <v>87</v>
      </c>
      <c r="K7" s="10" t="s">
        <v>106</v>
      </c>
      <c r="L7" s="14" t="s">
        <v>53</v>
      </c>
    </row>
    <row r="8" spans="1:12" s="3" customFormat="1" ht="45">
      <c r="A8" s="31" t="s">
        <v>47</v>
      </c>
      <c r="B8" s="10" t="s">
        <v>24</v>
      </c>
      <c r="C8" s="10" t="s">
        <v>46</v>
      </c>
      <c r="D8" s="26" t="s">
        <v>155</v>
      </c>
      <c r="E8" s="10"/>
      <c r="F8" s="24">
        <f>G8/(77*288*4)</f>
        <v>1</v>
      </c>
      <c r="G8" s="10">
        <v>88704</v>
      </c>
      <c r="H8" s="12" t="s">
        <v>76</v>
      </c>
      <c r="I8" s="10" t="s">
        <v>74</v>
      </c>
      <c r="J8" s="10" t="s">
        <v>197</v>
      </c>
      <c r="K8" s="10" t="s">
        <v>107</v>
      </c>
      <c r="L8" s="14" t="s">
        <v>159</v>
      </c>
    </row>
    <row r="9" spans="1:12" s="3" customFormat="1" ht="75" customHeight="1">
      <c r="A9" s="31" t="s">
        <v>5</v>
      </c>
      <c r="B9" s="10" t="s">
        <v>24</v>
      </c>
      <c r="C9" s="10" t="s">
        <v>148</v>
      </c>
      <c r="D9" s="26" t="s">
        <v>156</v>
      </c>
      <c r="E9" s="15" t="s">
        <v>158</v>
      </c>
      <c r="F9" s="24">
        <f>G9/(288*77*2)</f>
        <v>3</v>
      </c>
      <c r="G9" s="10">
        <f>44352*3</f>
        <v>133056</v>
      </c>
      <c r="H9" s="12" t="s">
        <v>79</v>
      </c>
      <c r="I9" s="10" t="s">
        <v>180</v>
      </c>
      <c r="J9" s="10" t="s">
        <v>192</v>
      </c>
      <c r="K9" s="10" t="s">
        <v>179</v>
      </c>
      <c r="L9" s="16" t="s">
        <v>175</v>
      </c>
    </row>
    <row r="10" spans="1:12" s="3" customFormat="1" ht="28.5" customHeight="1">
      <c r="A10" s="31" t="s">
        <v>6</v>
      </c>
      <c r="B10" s="10" t="s">
        <v>24</v>
      </c>
      <c r="C10" s="10" t="s">
        <v>46</v>
      </c>
      <c r="D10" s="26" t="s">
        <v>157</v>
      </c>
      <c r="E10" s="15" t="s">
        <v>158</v>
      </c>
      <c r="F10" s="24">
        <f>G10/288</f>
        <v>1.125</v>
      </c>
      <c r="G10" s="10">
        <f>288+36</f>
        <v>324</v>
      </c>
      <c r="H10" s="12" t="s">
        <v>48</v>
      </c>
      <c r="I10" s="10" t="s">
        <v>49</v>
      </c>
      <c r="J10" s="13">
        <v>39617</v>
      </c>
      <c r="K10" s="10" t="s">
        <v>108</v>
      </c>
      <c r="L10" s="14" t="s">
        <v>94</v>
      </c>
    </row>
    <row r="11" spans="1:12" s="3" customFormat="1" ht="25.5">
      <c r="A11" s="31" t="s">
        <v>7</v>
      </c>
      <c r="B11" s="10" t="s">
        <v>24</v>
      </c>
      <c r="C11" s="10" t="s">
        <v>46</v>
      </c>
      <c r="D11" s="26" t="s">
        <v>161</v>
      </c>
      <c r="E11" s="15" t="s">
        <v>158</v>
      </c>
      <c r="F11" s="24">
        <f>G11/288</f>
        <v>1.125</v>
      </c>
      <c r="G11" s="10">
        <f>288+36</f>
        <v>324</v>
      </c>
      <c r="H11" s="12" t="s">
        <v>48</v>
      </c>
      <c r="I11" s="10" t="s">
        <v>49</v>
      </c>
      <c r="J11" s="13">
        <v>39617</v>
      </c>
      <c r="K11" s="10" t="s">
        <v>108</v>
      </c>
      <c r="L11" s="14" t="s">
        <v>94</v>
      </c>
    </row>
    <row r="12" spans="1:12" s="3" customFormat="1" ht="25.5">
      <c r="A12" s="31" t="s">
        <v>8</v>
      </c>
      <c r="B12" s="10" t="s">
        <v>24</v>
      </c>
      <c r="C12" s="10" t="s">
        <v>46</v>
      </c>
      <c r="D12" s="26" t="s">
        <v>160</v>
      </c>
      <c r="E12" s="15" t="s">
        <v>158</v>
      </c>
      <c r="F12" s="24">
        <f>G12/288</f>
        <v>1.125</v>
      </c>
      <c r="G12" s="10">
        <f>288+36</f>
        <v>324</v>
      </c>
      <c r="H12" s="12" t="s">
        <v>48</v>
      </c>
      <c r="I12" s="10" t="s">
        <v>49</v>
      </c>
      <c r="J12" s="13">
        <v>39617</v>
      </c>
      <c r="K12" s="10" t="s">
        <v>109</v>
      </c>
      <c r="L12" s="14" t="s">
        <v>94</v>
      </c>
    </row>
    <row r="13" spans="1:12" s="3" customFormat="1" ht="39" customHeight="1">
      <c r="A13" s="9" t="s">
        <v>188</v>
      </c>
      <c r="B13" s="10" t="s">
        <v>24</v>
      </c>
      <c r="C13" s="10" t="s">
        <v>46</v>
      </c>
      <c r="D13" s="26" t="s">
        <v>160</v>
      </c>
      <c r="E13" s="15" t="s">
        <v>158</v>
      </c>
      <c r="F13" s="24" t="s">
        <v>189</v>
      </c>
      <c r="G13" s="10">
        <v>60</v>
      </c>
      <c r="H13" s="10" t="s">
        <v>49</v>
      </c>
      <c r="I13" s="10" t="s">
        <v>49</v>
      </c>
      <c r="J13" s="13" t="s">
        <v>187</v>
      </c>
      <c r="K13" s="10">
        <v>0</v>
      </c>
      <c r="L13" s="14" t="s">
        <v>190</v>
      </c>
    </row>
    <row r="14" spans="1:12" s="3" customFormat="1" ht="25.5">
      <c r="A14" s="31" t="s">
        <v>170</v>
      </c>
      <c r="B14" s="10" t="s">
        <v>27</v>
      </c>
      <c r="C14" s="10" t="s">
        <v>54</v>
      </c>
      <c r="D14" s="26" t="s">
        <v>173</v>
      </c>
      <c r="E14" s="15" t="s">
        <v>158</v>
      </c>
      <c r="F14" s="24">
        <f>G14/1152</f>
        <v>1</v>
      </c>
      <c r="G14" s="10">
        <v>1152</v>
      </c>
      <c r="H14" s="10" t="s">
        <v>145</v>
      </c>
      <c r="I14" s="10"/>
      <c r="J14" s="10"/>
      <c r="K14" s="10"/>
      <c r="L14" s="14" t="s">
        <v>116</v>
      </c>
    </row>
    <row r="15" spans="1:12" s="3" customFormat="1" ht="12.75">
      <c r="A15" s="31" t="s">
        <v>169</v>
      </c>
      <c r="B15" s="10" t="s">
        <v>27</v>
      </c>
      <c r="C15" s="10" t="s">
        <v>54</v>
      </c>
      <c r="D15" s="26" t="s">
        <v>171</v>
      </c>
      <c r="E15" s="15"/>
      <c r="F15" s="24">
        <f>G15/1152</f>
        <v>3</v>
      </c>
      <c r="G15" s="10">
        <f>1152*3</f>
        <v>3456</v>
      </c>
      <c r="H15" s="10"/>
      <c r="I15" s="10"/>
      <c r="J15" s="10"/>
      <c r="K15" s="10"/>
      <c r="L15" s="14"/>
    </row>
    <row r="16" spans="1:12" s="3" customFormat="1" ht="32.25" customHeight="1">
      <c r="A16" s="31" t="s">
        <v>71</v>
      </c>
      <c r="B16" s="10" t="s">
        <v>27</v>
      </c>
      <c r="C16" s="10" t="s">
        <v>72</v>
      </c>
      <c r="D16" s="26" t="s">
        <v>172</v>
      </c>
      <c r="E16" s="10"/>
      <c r="F16" s="24">
        <f>G16/1152</f>
        <v>0.8680555555555556</v>
      </c>
      <c r="G16" s="10">
        <v>1000</v>
      </c>
      <c r="H16" s="10" t="s">
        <v>146</v>
      </c>
      <c r="I16" s="10" t="s">
        <v>147</v>
      </c>
      <c r="J16" s="13" t="s">
        <v>136</v>
      </c>
      <c r="K16" s="10"/>
      <c r="L16" s="14" t="s">
        <v>115</v>
      </c>
    </row>
    <row r="17" spans="1:12" s="3" customFormat="1" ht="12.75">
      <c r="A17" s="9" t="s">
        <v>29</v>
      </c>
      <c r="B17" s="10" t="s">
        <v>24</v>
      </c>
      <c r="C17" s="10" t="s">
        <v>46</v>
      </c>
      <c r="D17" s="10" t="s">
        <v>66</v>
      </c>
      <c r="E17" s="10"/>
      <c r="F17" s="24">
        <f>G17/(288*4*6)</f>
        <v>3</v>
      </c>
      <c r="G17" s="10">
        <f>6912*3</f>
        <v>20736</v>
      </c>
      <c r="H17" s="10"/>
      <c r="I17" s="10"/>
      <c r="J17" s="13" t="s">
        <v>136</v>
      </c>
      <c r="K17" s="10"/>
      <c r="L17" s="15" t="s">
        <v>163</v>
      </c>
    </row>
    <row r="18" spans="1:75" s="3" customFormat="1" ht="42.75" customHeight="1">
      <c r="A18" s="9" t="s">
        <v>30</v>
      </c>
      <c r="B18" s="10" t="s">
        <v>24</v>
      </c>
      <c r="C18" s="10" t="s">
        <v>95</v>
      </c>
      <c r="D18" s="10" t="s">
        <v>66</v>
      </c>
      <c r="E18" s="10"/>
      <c r="F18" s="24">
        <f>G18/(288)</f>
        <v>3</v>
      </c>
      <c r="G18" s="10">
        <f>288*3</f>
        <v>864</v>
      </c>
      <c r="H18" s="12" t="s">
        <v>70</v>
      </c>
      <c r="I18" s="10" t="s">
        <v>77</v>
      </c>
      <c r="J18" s="15" t="s">
        <v>198</v>
      </c>
      <c r="K18" s="10"/>
      <c r="L18" s="14" t="s">
        <v>73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s="3" customFormat="1" ht="13.5" thickBot="1">
      <c r="A19" s="9" t="s">
        <v>199</v>
      </c>
      <c r="B19" s="10" t="s">
        <v>24</v>
      </c>
      <c r="C19" s="10" t="s">
        <v>46</v>
      </c>
      <c r="D19" s="27" t="s">
        <v>162</v>
      </c>
      <c r="E19" s="10"/>
      <c r="F19" s="24">
        <v>3</v>
      </c>
      <c r="G19" s="10">
        <v>2</v>
      </c>
      <c r="H19" s="10" t="s">
        <v>186</v>
      </c>
      <c r="I19" s="10" t="s">
        <v>186</v>
      </c>
      <c r="J19" s="10" t="s">
        <v>163</v>
      </c>
      <c r="K19" s="10"/>
      <c r="L19" s="14" t="s">
        <v>89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s="5" customFormat="1" ht="38.25">
      <c r="A20" s="31" t="s">
        <v>51</v>
      </c>
      <c r="B20" s="10" t="s">
        <v>24</v>
      </c>
      <c r="C20" s="10" t="s">
        <v>32</v>
      </c>
      <c r="D20" s="10"/>
      <c r="E20" s="10"/>
      <c r="F20" s="24">
        <f>G20*100000/(46*144*288)</f>
        <v>1.3104703435319378</v>
      </c>
      <c r="G20" s="10">
        <v>25</v>
      </c>
      <c r="H20" s="34" t="s">
        <v>37</v>
      </c>
      <c r="I20" s="34"/>
      <c r="J20" s="15" t="s">
        <v>78</v>
      </c>
      <c r="K20" s="10" t="s">
        <v>110</v>
      </c>
      <c r="L20" s="14" t="s">
        <v>81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12" s="3" customFormat="1" ht="63" customHeight="1">
      <c r="A21" s="9" t="s">
        <v>9</v>
      </c>
      <c r="B21" s="10" t="s">
        <v>24</v>
      </c>
      <c r="C21" s="10" t="s">
        <v>83</v>
      </c>
      <c r="D21" s="26" t="s">
        <v>164</v>
      </c>
      <c r="E21" s="10"/>
      <c r="F21" s="24">
        <v>3</v>
      </c>
      <c r="G21" s="10">
        <f>3*1152</f>
        <v>3456</v>
      </c>
      <c r="H21" s="12" t="s">
        <v>149</v>
      </c>
      <c r="I21" s="10" t="s">
        <v>26</v>
      </c>
      <c r="J21" s="32">
        <v>39647</v>
      </c>
      <c r="K21" s="10"/>
      <c r="L21" s="33" t="s">
        <v>194</v>
      </c>
    </row>
    <row r="22" spans="1:12" s="3" customFormat="1" ht="56.25">
      <c r="A22" s="9" t="s">
        <v>82</v>
      </c>
      <c r="B22" s="10" t="s">
        <v>24</v>
      </c>
      <c r="C22" s="10" t="s">
        <v>83</v>
      </c>
      <c r="D22" s="26" t="s">
        <v>165</v>
      </c>
      <c r="E22" s="10"/>
      <c r="F22" s="24">
        <v>3</v>
      </c>
      <c r="G22" s="10">
        <f>3*1152</f>
        <v>3456</v>
      </c>
      <c r="H22" s="12" t="s">
        <v>80</v>
      </c>
      <c r="I22" s="10" t="s">
        <v>26</v>
      </c>
      <c r="J22" s="32">
        <v>39647</v>
      </c>
      <c r="K22" s="10"/>
      <c r="L22" s="33" t="s">
        <v>194</v>
      </c>
    </row>
    <row r="23" spans="1:12" s="3" customFormat="1" ht="64.5" customHeight="1">
      <c r="A23" s="9" t="s">
        <v>86</v>
      </c>
      <c r="B23" s="10" t="s">
        <v>24</v>
      </c>
      <c r="C23" s="10" t="s">
        <v>83</v>
      </c>
      <c r="D23" s="26" t="s">
        <v>166</v>
      </c>
      <c r="E23" s="10"/>
      <c r="F23" s="24">
        <v>3</v>
      </c>
      <c r="G23" s="10">
        <f>3*1152</f>
        <v>3456</v>
      </c>
      <c r="H23" s="12" t="s">
        <v>80</v>
      </c>
      <c r="I23" s="10" t="s">
        <v>26</v>
      </c>
      <c r="J23" s="32">
        <v>39647</v>
      </c>
      <c r="K23" s="10"/>
      <c r="L23" s="33" t="s">
        <v>194</v>
      </c>
    </row>
    <row r="24" spans="1:12" s="3" customFormat="1" ht="38.25">
      <c r="A24" s="9" t="s">
        <v>85</v>
      </c>
      <c r="B24" s="10" t="s">
        <v>24</v>
      </c>
      <c r="C24" s="10" t="s">
        <v>26</v>
      </c>
      <c r="D24" s="27" t="s">
        <v>167</v>
      </c>
      <c r="E24" s="10"/>
      <c r="F24" s="24">
        <f>G24/1152</f>
        <v>1</v>
      </c>
      <c r="G24" s="10">
        <v>1152</v>
      </c>
      <c r="H24" s="10" t="s">
        <v>90</v>
      </c>
      <c r="I24" s="10" t="s">
        <v>26</v>
      </c>
      <c r="J24" s="13" t="s">
        <v>181</v>
      </c>
      <c r="K24" s="10"/>
      <c r="L24" s="16" t="s">
        <v>144</v>
      </c>
    </row>
    <row r="25" spans="1:12" s="3" customFormat="1" ht="12.75">
      <c r="A25" s="9" t="s">
        <v>10</v>
      </c>
      <c r="B25" s="10" t="s">
        <v>24</v>
      </c>
      <c r="C25" s="10" t="s">
        <v>46</v>
      </c>
      <c r="D25" s="10">
        <v>800</v>
      </c>
      <c r="E25" s="10"/>
      <c r="F25" s="24">
        <f>G25/(5*288)</f>
        <v>5.208333333333333</v>
      </c>
      <c r="G25" s="10">
        <f>4500+3000</f>
        <v>7500</v>
      </c>
      <c r="H25" s="34" t="s">
        <v>65</v>
      </c>
      <c r="I25" s="34"/>
      <c r="J25" s="10" t="s">
        <v>185</v>
      </c>
      <c r="K25" s="10" t="s">
        <v>176</v>
      </c>
      <c r="L25" s="15" t="s">
        <v>177</v>
      </c>
    </row>
    <row r="26" spans="1:12" s="3" customFormat="1" ht="76.5" customHeight="1">
      <c r="A26" s="9" t="s">
        <v>11</v>
      </c>
      <c r="B26" s="10" t="s">
        <v>24</v>
      </c>
      <c r="C26" s="10" t="s">
        <v>96</v>
      </c>
      <c r="D26" s="26" t="s">
        <v>168</v>
      </c>
      <c r="E26" s="15" t="s">
        <v>153</v>
      </c>
      <c r="F26" s="24">
        <f>G26/(3*288*5)</f>
        <v>1.087962962962963</v>
      </c>
      <c r="G26" s="10">
        <v>4700</v>
      </c>
      <c r="H26" s="35" t="s">
        <v>178</v>
      </c>
      <c r="I26" s="35"/>
      <c r="J26" s="10" t="s">
        <v>193</v>
      </c>
      <c r="K26" s="10">
        <f>G26*0.8</f>
        <v>3760</v>
      </c>
      <c r="L26" s="15" t="s">
        <v>117</v>
      </c>
    </row>
    <row r="27" spans="1:12" s="3" customFormat="1" ht="13.5" customHeight="1">
      <c r="A27" s="9" t="s">
        <v>61</v>
      </c>
      <c r="B27" s="10" t="s">
        <v>24</v>
      </c>
      <c r="C27" s="10" t="s">
        <v>46</v>
      </c>
      <c r="D27" s="10" t="s">
        <v>66</v>
      </c>
      <c r="E27" s="10"/>
      <c r="F27" s="24">
        <f>G27/(5*288*3)</f>
        <v>1.0416666666666667</v>
      </c>
      <c r="G27" s="10">
        <f>4500</f>
        <v>4500</v>
      </c>
      <c r="H27" s="10"/>
      <c r="I27" s="10"/>
      <c r="J27" s="13" t="s">
        <v>136</v>
      </c>
      <c r="K27" s="10"/>
      <c r="L27" s="15" t="s">
        <v>163</v>
      </c>
    </row>
    <row r="28" spans="1:12" s="3" customFormat="1" ht="13.5" customHeight="1" hidden="1" thickBot="1">
      <c r="A28" s="9" t="s">
        <v>12</v>
      </c>
      <c r="B28" s="10" t="s">
        <v>24</v>
      </c>
      <c r="C28" s="10" t="s">
        <v>46</v>
      </c>
      <c r="D28" s="11" t="s">
        <v>75</v>
      </c>
      <c r="E28" s="10"/>
      <c r="F28" s="24"/>
      <c r="G28" s="10">
        <v>1152</v>
      </c>
      <c r="H28" s="10" t="s">
        <v>66</v>
      </c>
      <c r="I28" s="10"/>
      <c r="J28" s="10"/>
      <c r="K28" s="10"/>
      <c r="L28" s="14"/>
    </row>
    <row r="29" spans="1:12" s="3" customFormat="1" ht="13.5" customHeight="1" hidden="1" thickBot="1">
      <c r="A29" s="9" t="s">
        <v>13</v>
      </c>
      <c r="B29" s="10" t="s">
        <v>24</v>
      </c>
      <c r="C29" s="10" t="s">
        <v>46</v>
      </c>
      <c r="D29" s="10" t="s">
        <v>43</v>
      </c>
      <c r="E29" s="10" t="s">
        <v>41</v>
      </c>
      <c r="F29" s="24"/>
      <c r="G29" s="10">
        <v>1152</v>
      </c>
      <c r="H29" s="10" t="s">
        <v>67</v>
      </c>
      <c r="I29" s="10"/>
      <c r="J29" s="10"/>
      <c r="K29" s="10"/>
      <c r="L29" s="14" t="s">
        <v>64</v>
      </c>
    </row>
    <row r="30" spans="1:12" s="3" customFormat="1" ht="33" customHeight="1">
      <c r="A30" s="9" t="s">
        <v>14</v>
      </c>
      <c r="B30" s="10" t="s">
        <v>25</v>
      </c>
      <c r="C30" s="10" t="s">
        <v>54</v>
      </c>
      <c r="D30" s="26" t="s">
        <v>91</v>
      </c>
      <c r="E30" s="15" t="s">
        <v>153</v>
      </c>
      <c r="F30" s="24">
        <f>G30/1152</f>
        <v>3</v>
      </c>
      <c r="G30" s="10">
        <f>1152*3</f>
        <v>3456</v>
      </c>
      <c r="H30" s="35" t="s">
        <v>178</v>
      </c>
      <c r="I30" s="35"/>
      <c r="J30" s="10" t="s">
        <v>182</v>
      </c>
      <c r="K30" s="10" t="s">
        <v>109</v>
      </c>
      <c r="L30" s="15" t="s">
        <v>163</v>
      </c>
    </row>
    <row r="31" spans="1:12" s="3" customFormat="1" ht="24" customHeight="1">
      <c r="A31" s="9" t="s">
        <v>15</v>
      </c>
      <c r="B31" s="10" t="s">
        <v>24</v>
      </c>
      <c r="C31" s="10" t="s">
        <v>46</v>
      </c>
      <c r="D31" s="10" t="s">
        <v>66</v>
      </c>
      <c r="E31" s="10"/>
      <c r="F31" s="24">
        <f>G31/1152</f>
        <v>1</v>
      </c>
      <c r="G31" s="10">
        <v>1152</v>
      </c>
      <c r="H31" s="10"/>
      <c r="I31" s="10"/>
      <c r="J31" s="13" t="s">
        <v>136</v>
      </c>
      <c r="K31" s="10"/>
      <c r="L31" s="14"/>
    </row>
    <row r="32" spans="1:12" s="3" customFormat="1" ht="12.75">
      <c r="A32" s="9" t="s">
        <v>3</v>
      </c>
      <c r="B32" s="10" t="s">
        <v>63</v>
      </c>
      <c r="C32" s="10" t="s">
        <v>113</v>
      </c>
      <c r="D32" s="10" t="s">
        <v>66</v>
      </c>
      <c r="E32" s="10"/>
      <c r="F32" s="24">
        <f>G32/1152</f>
        <v>1</v>
      </c>
      <c r="G32" s="10">
        <v>1152</v>
      </c>
      <c r="H32" s="10" t="s">
        <v>118</v>
      </c>
      <c r="I32" s="10"/>
      <c r="J32" s="10" t="s">
        <v>119</v>
      </c>
      <c r="K32" s="10"/>
      <c r="L32" s="14" t="s">
        <v>92</v>
      </c>
    </row>
    <row r="33" spans="1:12" s="3" customFormat="1" ht="12.75">
      <c r="A33" s="9" t="s">
        <v>4</v>
      </c>
      <c r="B33" s="10" t="s">
        <v>25</v>
      </c>
      <c r="C33" s="10" t="s">
        <v>60</v>
      </c>
      <c r="D33" s="10"/>
      <c r="E33" s="10"/>
      <c r="F33" s="24">
        <f>G33/1152</f>
        <v>1</v>
      </c>
      <c r="G33" s="10">
        <v>1152</v>
      </c>
      <c r="H33" s="10" t="s">
        <v>120</v>
      </c>
      <c r="I33" s="10"/>
      <c r="J33" s="10" t="s">
        <v>121</v>
      </c>
      <c r="K33" s="10"/>
      <c r="L33" s="14" t="s">
        <v>52</v>
      </c>
    </row>
    <row r="34" spans="1:12" s="3" customFormat="1" ht="33.75" customHeight="1" hidden="1" thickBot="1">
      <c r="A34" s="9"/>
      <c r="B34" s="10"/>
      <c r="C34" s="10"/>
      <c r="D34" s="10"/>
      <c r="E34" s="10"/>
      <c r="F34" s="24"/>
      <c r="G34" s="10"/>
      <c r="H34" s="18"/>
      <c r="I34" s="10"/>
      <c r="J34" s="10"/>
      <c r="K34" s="10"/>
      <c r="L34" s="14"/>
    </row>
    <row r="35" spans="1:12" s="3" customFormat="1" ht="33" customHeight="1" hidden="1" thickBot="1">
      <c r="A35" s="9"/>
      <c r="B35" s="10"/>
      <c r="C35" s="10"/>
      <c r="D35" s="10"/>
      <c r="E35" s="10"/>
      <c r="F35" s="24"/>
      <c r="G35" s="10"/>
      <c r="H35" s="10"/>
      <c r="I35" s="10"/>
      <c r="J35" s="10"/>
      <c r="K35" s="10"/>
      <c r="L35" s="14"/>
    </row>
    <row r="36" spans="1:12" s="3" customFormat="1" ht="12.75">
      <c r="A36" s="9" t="s">
        <v>16</v>
      </c>
      <c r="B36" s="10" t="s">
        <v>26</v>
      </c>
      <c r="C36" s="10" t="s">
        <v>152</v>
      </c>
      <c r="D36" s="10"/>
      <c r="E36" s="10"/>
      <c r="F36" s="24"/>
      <c r="G36" s="10"/>
      <c r="H36" s="34" t="s">
        <v>26</v>
      </c>
      <c r="I36" s="34"/>
      <c r="J36" s="10"/>
      <c r="K36" s="10"/>
      <c r="L36" s="14" t="s">
        <v>38</v>
      </c>
    </row>
    <row r="37" spans="1:12" s="3" customFormat="1" ht="12.75">
      <c r="A37" s="9" t="s">
        <v>62</v>
      </c>
      <c r="B37" s="10" t="s">
        <v>26</v>
      </c>
      <c r="C37" s="10" t="s">
        <v>152</v>
      </c>
      <c r="D37" s="10"/>
      <c r="E37" s="10"/>
      <c r="F37" s="24">
        <f>G37/288</f>
        <v>1</v>
      </c>
      <c r="G37" s="10">
        <v>288</v>
      </c>
      <c r="H37" s="34" t="s">
        <v>26</v>
      </c>
      <c r="I37" s="34"/>
      <c r="J37" s="13" t="s">
        <v>183</v>
      </c>
      <c r="K37" s="10"/>
      <c r="L37" s="14"/>
    </row>
    <row r="38" spans="1:12" s="3" customFormat="1" ht="12.75">
      <c r="A38" s="9" t="s">
        <v>17</v>
      </c>
      <c r="B38" s="10" t="s">
        <v>25</v>
      </c>
      <c r="C38" s="10" t="s">
        <v>54</v>
      </c>
      <c r="D38" s="10" t="s">
        <v>34</v>
      </c>
      <c r="E38" s="10"/>
      <c r="F38" s="24">
        <f>G38/24</f>
        <v>1</v>
      </c>
      <c r="G38" s="10">
        <v>24</v>
      </c>
      <c r="H38" s="34" t="s">
        <v>150</v>
      </c>
      <c r="I38" s="34"/>
      <c r="J38" s="10" t="s">
        <v>93</v>
      </c>
      <c r="K38" s="10"/>
      <c r="L38" s="14"/>
    </row>
    <row r="39" spans="1:12" s="3" customFormat="1" ht="14.25">
      <c r="A39" s="9" t="s">
        <v>18</v>
      </c>
      <c r="B39" s="10" t="s">
        <v>25</v>
      </c>
      <c r="C39" s="10" t="s">
        <v>54</v>
      </c>
      <c r="D39" s="17" t="s">
        <v>122</v>
      </c>
      <c r="E39" s="10"/>
      <c r="F39" s="24">
        <f>G39/72</f>
        <v>1</v>
      </c>
      <c r="G39" s="10">
        <f>3*24</f>
        <v>72</v>
      </c>
      <c r="H39" s="17" t="s">
        <v>123</v>
      </c>
      <c r="I39" s="10"/>
      <c r="J39" s="10"/>
      <c r="K39" s="10"/>
      <c r="L39" s="16" t="s">
        <v>124</v>
      </c>
    </row>
    <row r="40" spans="1:12" s="3" customFormat="1" ht="12.75">
      <c r="A40" s="9" t="s">
        <v>19</v>
      </c>
      <c r="B40" s="10" t="s">
        <v>25</v>
      </c>
      <c r="C40" s="10" t="s">
        <v>54</v>
      </c>
      <c r="D40" s="10" t="s">
        <v>66</v>
      </c>
      <c r="E40" s="10"/>
      <c r="F40" s="24"/>
      <c r="G40" s="10"/>
      <c r="H40" s="10"/>
      <c r="I40" s="10"/>
      <c r="J40" s="10"/>
      <c r="K40" s="10"/>
      <c r="L40" s="14"/>
    </row>
    <row r="41" spans="1:12" s="3" customFormat="1" ht="12.75">
      <c r="A41" s="9" t="s">
        <v>135</v>
      </c>
      <c r="B41" s="10" t="s">
        <v>25</v>
      </c>
      <c r="C41" s="10" t="s">
        <v>54</v>
      </c>
      <c r="D41" s="10"/>
      <c r="E41" s="10"/>
      <c r="F41" s="24"/>
      <c r="G41" s="10"/>
      <c r="H41" s="10"/>
      <c r="I41" s="10"/>
      <c r="J41" s="10"/>
      <c r="K41" s="10"/>
      <c r="L41" s="14"/>
    </row>
    <row r="42" spans="1:12" s="3" customFormat="1" ht="12.75">
      <c r="A42" s="9" t="s">
        <v>20</v>
      </c>
      <c r="B42" s="10" t="s">
        <v>127</v>
      </c>
      <c r="C42" s="10" t="s">
        <v>112</v>
      </c>
      <c r="D42" s="10"/>
      <c r="E42" s="10"/>
      <c r="F42" s="24"/>
      <c r="G42" s="10"/>
      <c r="H42" s="10"/>
      <c r="I42" s="10"/>
      <c r="J42" s="10" t="s">
        <v>136</v>
      </c>
      <c r="K42" s="10"/>
      <c r="L42" s="14" t="s">
        <v>58</v>
      </c>
    </row>
    <row r="43" spans="1:12" s="3" customFormat="1" ht="25.5">
      <c r="A43" s="9" t="s">
        <v>132</v>
      </c>
      <c r="B43" s="10" t="s">
        <v>25</v>
      </c>
      <c r="C43" s="10" t="s">
        <v>54</v>
      </c>
      <c r="D43" s="17" t="s">
        <v>122</v>
      </c>
      <c r="E43" s="10"/>
      <c r="F43" s="24"/>
      <c r="G43" s="10"/>
      <c r="H43" s="17" t="s">
        <v>123</v>
      </c>
      <c r="I43" s="10"/>
      <c r="J43" s="10"/>
      <c r="K43" s="10"/>
      <c r="L43" s="14"/>
    </row>
    <row r="44" spans="1:12" s="3" customFormat="1" ht="25.5">
      <c r="A44" s="9" t="s">
        <v>131</v>
      </c>
      <c r="B44" s="10" t="s">
        <v>25</v>
      </c>
      <c r="C44" s="10" t="s">
        <v>54</v>
      </c>
      <c r="D44" s="10" t="s">
        <v>66</v>
      </c>
      <c r="E44" s="10"/>
      <c r="F44" s="24"/>
      <c r="G44" s="10"/>
      <c r="H44" s="10"/>
      <c r="I44" s="10"/>
      <c r="J44" s="10"/>
      <c r="K44" s="10"/>
      <c r="L44" s="14"/>
    </row>
    <row r="45" spans="1:12" s="3" customFormat="1" ht="25.5">
      <c r="A45" s="9" t="s">
        <v>21</v>
      </c>
      <c r="B45" s="10" t="s">
        <v>25</v>
      </c>
      <c r="C45" s="10" t="s">
        <v>54</v>
      </c>
      <c r="D45" s="17" t="s">
        <v>122</v>
      </c>
      <c r="E45" s="10"/>
      <c r="F45" s="24"/>
      <c r="G45" s="10"/>
      <c r="H45" s="17" t="s">
        <v>123</v>
      </c>
      <c r="I45" s="10"/>
      <c r="J45" s="10"/>
      <c r="K45" s="10"/>
      <c r="L45" s="14" t="s">
        <v>128</v>
      </c>
    </row>
    <row r="46" spans="1:12" s="3" customFormat="1" ht="39" customHeight="1">
      <c r="A46" s="9" t="s">
        <v>22</v>
      </c>
      <c r="B46" s="10" t="s">
        <v>127</v>
      </c>
      <c r="C46" s="10" t="s">
        <v>112</v>
      </c>
      <c r="D46" s="10"/>
      <c r="E46" s="10"/>
      <c r="F46" s="24"/>
      <c r="G46" s="10">
        <v>60000</v>
      </c>
      <c r="H46" s="10" t="s">
        <v>129</v>
      </c>
      <c r="I46" s="10"/>
      <c r="J46" s="10" t="s">
        <v>136</v>
      </c>
      <c r="K46" s="10"/>
      <c r="L46" s="14" t="s">
        <v>130</v>
      </c>
    </row>
    <row r="47" spans="1:12" s="3" customFormat="1" ht="25.5">
      <c r="A47" s="9" t="s">
        <v>134</v>
      </c>
      <c r="B47" s="10" t="s">
        <v>127</v>
      </c>
      <c r="C47" s="10" t="s">
        <v>112</v>
      </c>
      <c r="D47" s="10"/>
      <c r="E47" s="10"/>
      <c r="F47" s="24">
        <f>G47/24</f>
        <v>1</v>
      </c>
      <c r="G47" s="10">
        <v>24</v>
      </c>
      <c r="H47" s="10"/>
      <c r="I47" s="10"/>
      <c r="J47" s="10" t="s">
        <v>136</v>
      </c>
      <c r="K47" s="10"/>
      <c r="L47" s="14" t="s">
        <v>133</v>
      </c>
    </row>
    <row r="48" spans="1:12" s="3" customFormat="1" ht="40.5" customHeight="1">
      <c r="A48" s="9" t="s">
        <v>141</v>
      </c>
      <c r="B48" s="10" t="s">
        <v>25</v>
      </c>
      <c r="C48" s="10" t="s">
        <v>54</v>
      </c>
      <c r="D48" s="10" t="s">
        <v>154</v>
      </c>
      <c r="E48" s="10"/>
      <c r="F48" s="24"/>
      <c r="G48" s="10"/>
      <c r="H48" s="10"/>
      <c r="I48" s="10"/>
      <c r="J48" s="10"/>
      <c r="K48" s="10"/>
      <c r="L48" s="14"/>
    </row>
    <row r="49" spans="1:12" s="3" customFormat="1" ht="38.25">
      <c r="A49" s="9" t="s">
        <v>55</v>
      </c>
      <c r="B49" s="10" t="s">
        <v>56</v>
      </c>
      <c r="C49" s="10" t="s">
        <v>57</v>
      </c>
      <c r="D49" s="17" t="s">
        <v>139</v>
      </c>
      <c r="E49" s="10"/>
      <c r="F49" s="24">
        <f>G49/1</f>
        <v>1</v>
      </c>
      <c r="G49" s="10">
        <v>1</v>
      </c>
      <c r="H49" s="10"/>
      <c r="I49" s="10" t="s">
        <v>45</v>
      </c>
      <c r="J49" s="10" t="s">
        <v>137</v>
      </c>
      <c r="K49" s="10" t="s">
        <v>111</v>
      </c>
      <c r="L49" s="16" t="s">
        <v>138</v>
      </c>
    </row>
    <row r="50" spans="1:12" s="3" customFormat="1" ht="25.5">
      <c r="A50" s="9" t="s">
        <v>23</v>
      </c>
      <c r="B50" s="10" t="s">
        <v>127</v>
      </c>
      <c r="C50" s="10" t="s">
        <v>112</v>
      </c>
      <c r="D50" s="10" t="s">
        <v>140</v>
      </c>
      <c r="E50" s="10"/>
      <c r="F50" s="24">
        <f>G50/1</f>
        <v>1</v>
      </c>
      <c r="G50" s="10">
        <v>1</v>
      </c>
      <c r="H50" s="10"/>
      <c r="I50" s="10"/>
      <c r="J50" s="10"/>
      <c r="K50" s="10" t="s">
        <v>28</v>
      </c>
      <c r="L50" s="14" t="s">
        <v>59</v>
      </c>
    </row>
    <row r="51" spans="1:12" s="3" customFormat="1" ht="12.75">
      <c r="A51" s="19" t="s">
        <v>126</v>
      </c>
      <c r="B51" s="20" t="s">
        <v>24</v>
      </c>
      <c r="C51" s="20" t="s">
        <v>46</v>
      </c>
      <c r="D51" s="10" t="s">
        <v>66</v>
      </c>
      <c r="E51" s="20"/>
      <c r="F51" s="25">
        <f>G51/1152</f>
        <v>1.0416666666666667</v>
      </c>
      <c r="G51" s="20">
        <v>1200</v>
      </c>
      <c r="H51" s="20"/>
      <c r="I51" s="20"/>
      <c r="J51" s="20"/>
      <c r="K51" s="20"/>
      <c r="L51" s="30"/>
    </row>
    <row r="52" spans="1:12" s="3" customFormat="1" ht="12.75">
      <c r="A52" s="19" t="s">
        <v>125</v>
      </c>
      <c r="B52" s="20" t="s">
        <v>24</v>
      </c>
      <c r="C52" s="20" t="s">
        <v>46</v>
      </c>
      <c r="D52" s="10" t="s">
        <v>66</v>
      </c>
      <c r="E52" s="20"/>
      <c r="F52" s="25">
        <f>G52/1152</f>
        <v>1.0416666666666667</v>
      </c>
      <c r="G52" s="20">
        <v>1200</v>
      </c>
      <c r="H52" s="20"/>
      <c r="I52" s="20"/>
      <c r="J52" s="20"/>
      <c r="K52" s="20"/>
      <c r="L52" s="30"/>
    </row>
    <row r="53" spans="1:12" s="3" customFormat="1" ht="14.25">
      <c r="A53" s="19" t="s">
        <v>151</v>
      </c>
      <c r="B53" s="20" t="s">
        <v>24</v>
      </c>
      <c r="C53" s="20" t="s">
        <v>46</v>
      </c>
      <c r="D53" s="17" t="s">
        <v>122</v>
      </c>
      <c r="E53" s="20"/>
      <c r="F53" s="25">
        <f>G53/1152</f>
        <v>1.0416666666666667</v>
      </c>
      <c r="G53" s="20">
        <v>1200</v>
      </c>
      <c r="H53" s="20"/>
      <c r="I53" s="20"/>
      <c r="J53" s="20"/>
      <c r="K53" s="20"/>
      <c r="L53" s="30"/>
    </row>
  </sheetData>
  <sheetProtection/>
  <mergeCells count="9">
    <mergeCell ref="H36:I36"/>
    <mergeCell ref="H37:I37"/>
    <mergeCell ref="H38:I38"/>
    <mergeCell ref="H6:I6"/>
    <mergeCell ref="H7:I7"/>
    <mergeCell ref="H20:I20"/>
    <mergeCell ref="H26:I26"/>
    <mergeCell ref="H30:I30"/>
    <mergeCell ref="H25:I25"/>
  </mergeCells>
  <hyperlinks>
    <hyperlink ref="D4" r:id="rId1" display="26K204_C"/>
    <hyperlink ref="D9" r:id="rId2" display="26K206_B "/>
    <hyperlink ref="D10" r:id="rId3" display="26K200J"/>
    <hyperlink ref="D11" r:id="rId4" display="26K202F"/>
    <hyperlink ref="D12" r:id="rId5" display="26K201I"/>
    <hyperlink ref="D14" r:id="rId6" display="26K214C"/>
    <hyperlink ref="D21" r:id="rId7" display="26K207D"/>
    <hyperlink ref="D24" r:id="rId8" display="26K308A"/>
    <hyperlink ref="D26" r:id="rId9" display="26K209D"/>
    <hyperlink ref="D28" r:id="rId10" display="26K214_A"/>
    <hyperlink ref="D22" r:id="rId11" display="26K309C"/>
    <hyperlink ref="D23" r:id="rId12" display="26K307B"/>
    <hyperlink ref="D30" r:id="rId13" display="26K212A"/>
    <hyperlink ref="D6" r:id="rId14" display="26K205A"/>
    <hyperlink ref="D8" r:id="rId15" display="26K205A"/>
    <hyperlink ref="D19" r:id="rId16" display="26K211B (half,full)"/>
    <hyperlink ref="D15" r:id="rId17" display="26K208H"/>
    <hyperlink ref="D16" r:id="rId18" display="26K203E"/>
    <hyperlink ref="A3" r:id="rId19" display="DRAWING CODES"/>
    <hyperlink ref="D13" r:id="rId20" display="26K201I"/>
  </hyperlinks>
  <printOptions/>
  <pageMargins left="0.75" right="0.75" top="1" bottom="1" header="0.5" footer="0.5"/>
  <pageSetup horizontalDpi="200" verticalDpi="20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LNF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Bianchi;Pasquale Di Nezza</dc:creator>
  <cp:keywords/>
  <dc:description/>
  <cp:lastModifiedBy>Federico Ronchetti</cp:lastModifiedBy>
  <cp:lastPrinted>2007-12-07T14:38:59Z</cp:lastPrinted>
  <dcterms:created xsi:type="dcterms:W3CDTF">2007-12-06T10:34:28Z</dcterms:created>
  <dcterms:modified xsi:type="dcterms:W3CDTF">2008-07-15T13:02:39Z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