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<sst xmlns="http://schemas.openxmlformats.org/spreadsheetml/2006/main" count="103" uniqueCount="100">
  <si>
    <t>Version n. (date)</t>
  </si>
  <si>
    <t>1.6 (Feb 25, 2021)</t>
  </si>
  <si>
    <t>Specifications for EIC Roman Pots Electronics</t>
  </si>
  <si>
    <t xml:space="preserve">Min </t>
  </si>
  <si>
    <t xml:space="preserve">Average/Expected </t>
  </si>
  <si>
    <t>Max</t>
  </si>
  <si>
    <t>Comments</t>
  </si>
  <si>
    <t>No. Roman Pots</t>
  </si>
  <si>
    <t>No. Silicon layers per Pot</t>
  </si>
  <si>
    <t>Each layer  comprises an Top and a Bottom Layer</t>
  </si>
  <si>
    <t>Silicon Active Area per layer [cm2]</t>
  </si>
  <si>
    <t>see Strawman v1 design with 32 modules per layer</t>
  </si>
  <si>
    <t>Total Silicon Active Area [cm2]</t>
  </si>
  <si>
    <t>Sensor pixel pitch [um]</t>
  </si>
  <si>
    <t>if necessary we can have rectanglular pixels with one side &gt; 500 um, and place layers orthogonally in a station</t>
  </si>
  <si>
    <t>Sensor inactive edge [um]</t>
  </si>
  <si>
    <t>Sensor active thickness [um]</t>
  </si>
  <si>
    <t>Sensor total thickness [um]</t>
  </si>
  <si>
    <t>Sensor Capacitance [pF/mm2]</t>
  </si>
  <si>
    <t>Assuming 2 pF/mm^2 for a 50-um thick LGADs for min/average, while for max assumes 20 um thickess</t>
  </si>
  <si>
    <t>Sensor Capacitance per channel for Pixel [pF/ch.]</t>
  </si>
  <si>
    <t>assuming 500x500 um2 pixel (ignoring gap size, resistive effects and bump-bond)</t>
  </si>
  <si>
    <t>Sensor Capacitance per channel for Strips [pF/ch]</t>
  </si>
  <si>
    <t>assuming 2 strips per sensor, of 15 mm length each and width 100 um. If need comes to reduced capacitance by a factor 2x we can have 4 strips per sensors, of 7 mm length each</t>
  </si>
  <si>
    <t>Module dimensions [cm2]</t>
  </si>
  <si>
    <t>3.2x3.2</t>
  </si>
  <si>
    <t>Module area [cm2]</t>
  </si>
  <si>
    <t>ASIC dimensions [cm2]</t>
  </si>
  <si>
    <t>1.6x1.8</t>
  </si>
  <si>
    <t>4 ASICs per module (single sensor). The extra 2 mm on one axis is for the wire-bonding pads</t>
  </si>
  <si>
    <t>ASIC area [cm2]</t>
  </si>
  <si>
    <t>4 ASICs per module (single sensor)</t>
  </si>
  <si>
    <t>No. Modules per layer</t>
  </si>
  <si>
    <t>In a single layer: 16 modules on top layer and 16 modle in bottom layer</t>
  </si>
  <si>
    <t>No. Modules</t>
  </si>
  <si>
    <t>No. ASICs</t>
  </si>
  <si>
    <t>No. Channels per ASIC</t>
  </si>
  <si>
    <t>32x32 channels per ASIC</t>
  </si>
  <si>
    <t>No. Channels per Layer</t>
  </si>
  <si>
    <t>No. Channels Tot.</t>
  </si>
  <si>
    <t>Operating Temperature</t>
  </si>
  <si>
    <t>Room temp</t>
  </si>
  <si>
    <t>Cooling only needed for removing electronics heat</t>
  </si>
  <si>
    <t>Charge per pixel</t>
  </si>
  <si>
    <t>40k eh (6.3 fC)</t>
  </si>
  <si>
    <t>120k eh (19 fC)</t>
  </si>
  <si>
    <t>240k eh (38 fC)</t>
  </si>
  <si>
    <t>NB: signal is bipolar (with small undershoot, ~25% of positive signal). For charge we assume the average value of the landau distribution, with no signal sharing, gain and active thicknesses: g=20,thick=25um (min);  g=30, thickness=50 (average); gain=60, thickness=50 (max)</t>
  </si>
  <si>
    <t>Signal Share [% of amplitude of 1st pixel]</t>
  </si>
  <si>
    <t xml:space="preserve">36% (2nd), 18% (3rd and 4th) </t>
  </si>
  <si>
    <t>min/average are based on standard 500um pitch (clusters are contained in ~200 um), and max is based on 100 um strip sensor</t>
  </si>
  <si>
    <t>Time Window for time measurement</t>
  </si>
  <si>
    <t>Trigger</t>
  </si>
  <si>
    <t>Triggerless</t>
  </si>
  <si>
    <t>EIC clock jitter [fs]</t>
  </si>
  <si>
    <t xml:space="preserve">250fs is a real jitter (from bunch to bunch): As I ballpark number, we can provide an h=360 (~28 MHz signal) with ~250 fs of RMS jitter. Long term drift is another matter.  We can compensate for it </t>
  </si>
  <si>
    <t>EIC ring length [m]</t>
  </si>
  <si>
    <t>N. bunches per fill in EIC</t>
  </si>
  <si>
    <t>equidistant bunches (LHC has 3557 bunches of which 2808 for physics, the rest for beam dump,abort gap etc.)</t>
  </si>
  <si>
    <t>EIC Revolution Frequency [kHz]</t>
  </si>
  <si>
    <t>(LHC is 11.245 kHz)</t>
  </si>
  <si>
    <t>EIC Bunch Crossing Rate [MHz]</t>
  </si>
  <si>
    <t>(LHC is 40 MHz)</t>
  </si>
  <si>
    <t>Bunch spacing [ns]</t>
  </si>
  <si>
    <t>EIC Clock Frequency [MHz]</t>
  </si>
  <si>
    <t>Hadron Bunch length [cm]</t>
  </si>
  <si>
    <t>Hadron Bunch length [ps]</t>
  </si>
  <si>
    <t>Electron Bunch length [cm]</t>
  </si>
  <si>
    <t>Electron Bunch length [ps]</t>
  </si>
  <si>
    <t>Collision Rate [kHz]</t>
  </si>
  <si>
    <t>AT: from CDR (assuming ~100 MHz bunch crossing rate and an e-p cross section 50 microbarn &lt;&lt; 70 mb at the LHC)</t>
  </si>
  <si>
    <t>Hit density (e-p) [hits/pixel/sec]</t>
  </si>
  <si>
    <t>9 hits/pixel/sec</t>
  </si>
  <si>
    <t>15 hits/pixel/sec</t>
  </si>
  <si>
    <t>28 hits/pixel/sec</t>
  </si>
  <si>
    <t>Assumes (for now - in process of refining) 800 kHz DIS + background rate for e+p, and 2 MHz for e+A (roughly 2.5 times larger than e + p). Also assumes 100k pixels per plane, with ~90% being struck (I assume some fraction are not regularly hit since the DIS events produce an elliptical image on the silicon)</t>
  </si>
  <si>
    <t>No. Hits per bunch crossing (e-p)</t>
  </si>
  <si>
    <t xml:space="preserve">assumes 1 hit (proton) per collision, i.e. it is just the ratio of collision rate and bunch crossing rate </t>
  </si>
  <si>
    <t>Occupancy per bunch crossing (e-p) [%]</t>
  </si>
  <si>
    <t>Data rate per event [Mbps]</t>
  </si>
  <si>
    <t>e.g. No. Hits per event * 32bits *Collision rate  ~ xx Mbps. From EIC CDR as reference: at top luminosity 10^34, the zero-suppressed streaming data rate from EIC collisions is ~100 Gbps, which is the minimal amount of raw data that has to be recorded to disk in order to record all minimum-bias EIC col- lisions in the central detector</t>
  </si>
  <si>
    <t>Memory Length</t>
  </si>
  <si>
    <t>TOT Range [ns]</t>
  </si>
  <si>
    <t>TOT Precision</t>
  </si>
  <si>
    <t>ASIC power dissipation [W]</t>
  </si>
  <si>
    <t>(For Ref ALTOROC is 1.2 W/asic). From Laurent: in HGTD the pixel power dissipation is 4.9 mW with 10% occupancy. In RPs removing the SRAM and assume the digital part inside the pixel can be simplified we get  3 mW / pixel  * 1024 pixels  = 3.072 W /asic including the peripheral electronics of the ASIC (taken into account the lower capacitance in AC-LGADs, we might reduce the size of the transistor in the preamp and reduced its power dissipation., also the occupancy will likley be much less than 10%)</t>
  </si>
  <si>
    <t>ASIC Power dissipation / area [W/cm2]</t>
  </si>
  <si>
    <t>Tot. ASIC Power Dissipation [W]</t>
  </si>
  <si>
    <t>watts/asic * no. asics</t>
  </si>
  <si>
    <t>Sensor Power dissipation [mW/cm2]</t>
  </si>
  <si>
    <t>Assuming 2 microA/cm2 * 300 V. Upper value is the value given in the HGTD TDR (very high?)</t>
  </si>
  <si>
    <t>Tot. Sensor Power dissipation [W]</t>
  </si>
  <si>
    <t>Flex cable power consumption [mW/cm]</t>
  </si>
  <si>
    <t>This is the value for HGTD - to be updated</t>
  </si>
  <si>
    <t>Tot. Flex cable power consumption [W]</t>
  </si>
  <si>
    <t>Assuming (32x(3.2+6.4))=307.2 cm flex cable length per module * N. layers * N. stations</t>
  </si>
  <si>
    <t>Total Power consumption [W]</t>
  </si>
  <si>
    <t>Fluence [neutron eq. / cm^2]</t>
  </si>
  <si>
    <t>10^11</t>
  </si>
  <si>
    <r>
      <rPr/>
      <t xml:space="preserve">Page 30: </t>
    </r>
    <r>
      <rPr>
        <color rgb="FF1155CC"/>
        <u/>
      </rPr>
      <t>https://wiki.bnl.gov/conferences/images/d/de/EICRD_TOFTracker_LGAD_WeiLi_v2.pdf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</si>
</sst>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0"/>
    <numFmt numFmtId="165" formatCode="0.000000"/>
    <numFmt numFmtId="166" formatCode="0.0"/>
    <numFmt numFmtId="167" formatCode="0.000"/>
  </numFmts>
  <fonts count="13">
    <font>
      <sz val="10.0"/>
      <color rgb="FF000000"/>
      <name val="Arial"/>
    </font>
    <font>
      <sz val="9.0"/>
      <color rgb="FFFF0000"/>
      <name val="Arial"/>
    </font>
    <font>
      <color theme="1"/>
      <name val="Arial"/>
    </font>
    <font>
      <b/>
      <color theme="1"/>
      <name val="Arial"/>
    </font>
    <font/>
    <font>
      <b/>
      <sz val="12.0"/>
      <color rgb="FFFF0000"/>
      <name val="Arial"/>
    </font>
    <font>
      <b/>
      <color rgb="FF000000"/>
      <name val="&quot;Arial&quot;"/>
    </font>
    <font>
      <sz val="9.0"/>
      <color rgb="FF000000"/>
      <name val="Helvetica"/>
    </font>
    <font>
      <color rgb="FF000000"/>
      <name val="Arial"/>
    </font>
    <font>
      <b/>
      <color rgb="FFFF0000"/>
      <name val="Arial"/>
    </font>
    <font>
      <b/>
      <color rgb="FF000000"/>
      <name val="Arial"/>
    </font>
    <font>
      <color rgb="FFFF0000"/>
      <name val="Arial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1" fillId="2" fontId="5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3" fontId="2" numFmtId="0" xfId="0" applyFill="1" applyFont="1"/>
    <xf borderId="4" fillId="4" fontId="3" numFmtId="0" xfId="0" applyAlignment="1" applyBorder="1" applyFill="1" applyFont="1">
      <alignment readingOrder="0"/>
    </xf>
    <xf borderId="1" fillId="4" fontId="3" numFmtId="0" xfId="0" applyAlignment="1" applyBorder="1" applyFont="1">
      <alignment readingOrder="0"/>
    </xf>
    <xf borderId="4" fillId="5" fontId="3" numFmtId="0" xfId="0" applyAlignment="1" applyBorder="1" applyFill="1" applyFont="1">
      <alignment readingOrder="0"/>
    </xf>
    <xf borderId="4" fillId="0" fontId="2" numFmtId="0" xfId="0" applyBorder="1" applyFont="1"/>
    <xf borderId="4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5" fontId="3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left" readingOrder="0"/>
    </xf>
    <xf borderId="4" fillId="2" fontId="2" numFmtId="0" xfId="0" applyAlignment="1" applyBorder="1" applyFont="1">
      <alignment horizontal="center" readingOrder="0"/>
    </xf>
    <xf borderId="4" fillId="5" fontId="6" numFmtId="0" xfId="0" applyAlignment="1" applyBorder="1" applyFont="1">
      <alignment readingOrder="0"/>
    </xf>
    <xf borderId="4" fillId="6" fontId="2" numFmtId="0" xfId="0" applyBorder="1" applyFill="1" applyFont="1"/>
    <xf borderId="4" fillId="6" fontId="2" numFmtId="0" xfId="0" applyAlignment="1" applyBorder="1" applyFont="1">
      <alignment horizontal="center" readingOrder="0"/>
    </xf>
    <xf borderId="4" fillId="6" fontId="2" numFmtId="1" xfId="0" applyAlignment="1" applyBorder="1" applyFont="1" applyNumberFormat="1">
      <alignment horizontal="center" readingOrder="0"/>
    </xf>
    <xf borderId="4" fillId="6" fontId="2" numFmtId="3" xfId="0" applyAlignment="1" applyBorder="1" applyFont="1" applyNumberFormat="1">
      <alignment horizontal="center" readingOrder="0"/>
    </xf>
    <xf borderId="4" fillId="0" fontId="2" numFmtId="0" xfId="0" applyAlignment="1" applyBorder="1" applyFont="1">
      <alignment horizontal="center"/>
    </xf>
    <xf borderId="5" fillId="0" fontId="7" numFmtId="0" xfId="0" applyAlignment="1" applyBorder="1" applyFont="1">
      <alignment readingOrder="0"/>
    </xf>
    <xf borderId="5" fillId="0" fontId="4" numFmtId="0" xfId="0" applyBorder="1" applyFont="1"/>
    <xf borderId="2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2" fontId="2" numFmtId="0" xfId="0" applyBorder="1" applyFont="1"/>
    <xf borderId="1" fillId="0" fontId="8" numFmtId="0" xfId="0" applyAlignment="1" applyBorder="1" applyFont="1">
      <alignment readingOrder="0"/>
    </xf>
    <xf borderId="4" fillId="2" fontId="2" numFmtId="1" xfId="0" applyAlignment="1" applyBorder="1" applyFont="1" applyNumberFormat="1">
      <alignment horizontal="center"/>
    </xf>
    <xf borderId="4" fillId="2" fontId="2" numFmtId="2" xfId="0" applyAlignment="1" applyBorder="1" applyFont="1" applyNumberFormat="1">
      <alignment horizontal="center"/>
    </xf>
    <xf borderId="4" fillId="5" fontId="9" numFmtId="0" xfId="0" applyAlignment="1" applyBorder="1" applyFont="1">
      <alignment readingOrder="0"/>
    </xf>
    <xf borderId="4" fillId="2" fontId="2" numFmtId="0" xfId="0" applyAlignment="1" applyBorder="1" applyFont="1">
      <alignment horizontal="center"/>
    </xf>
    <xf borderId="4" fillId="2" fontId="9" numFmtId="0" xfId="0" applyAlignment="1" applyBorder="1" applyFont="1">
      <alignment horizontal="center" readingOrder="0"/>
    </xf>
    <xf borderId="4" fillId="5" fontId="10" numFmtId="0" xfId="0" applyAlignment="1" applyBorder="1" applyFont="1">
      <alignment readingOrder="0"/>
    </xf>
    <xf borderId="4" fillId="2" fontId="8" numFmtId="0" xfId="0" applyAlignment="1" applyBorder="1" applyFont="1">
      <alignment horizontal="center" readingOrder="0"/>
    </xf>
    <xf borderId="4" fillId="2" fontId="8" numFmtId="1" xfId="0" applyAlignment="1" applyBorder="1" applyFont="1" applyNumberFormat="1">
      <alignment horizontal="center" readingOrder="0"/>
    </xf>
    <xf borderId="4" fillId="2" fontId="11" numFmtId="0" xfId="0" applyAlignment="1" applyBorder="1" applyFont="1">
      <alignment horizontal="center" readingOrder="0"/>
    </xf>
    <xf borderId="1" fillId="0" fontId="11" numFmtId="0" xfId="0" applyAlignment="1" applyBorder="1" applyFont="1">
      <alignment readingOrder="0"/>
    </xf>
    <xf borderId="4" fillId="0" fontId="11" numFmtId="0" xfId="0" applyAlignment="1" applyBorder="1" applyFont="1">
      <alignment readingOrder="0"/>
    </xf>
    <xf borderId="4" fillId="0" fontId="11" numFmtId="0" xfId="0" applyAlignment="1" applyBorder="1" applyFont="1">
      <alignment horizontal="center" readingOrder="0"/>
    </xf>
    <xf borderId="0" fillId="5" fontId="9" numFmtId="0" xfId="0" applyAlignment="1" applyFont="1">
      <alignment readingOrder="0"/>
    </xf>
    <xf borderId="4" fillId="0" fontId="11" numFmtId="164" xfId="0" applyAlignment="1" applyBorder="1" applyFont="1" applyNumberFormat="1">
      <alignment horizontal="center" readingOrder="0"/>
    </xf>
    <xf borderId="4" fillId="0" fontId="11" numFmtId="165" xfId="0" applyAlignment="1" applyBorder="1" applyFont="1" applyNumberFormat="1">
      <alignment horizontal="center" readingOrder="0"/>
    </xf>
    <xf borderId="4" fillId="0" fontId="11" numFmtId="0" xfId="0" applyAlignment="1" applyBorder="1" applyFont="1">
      <alignment horizontal="center"/>
    </xf>
    <xf borderId="4" fillId="0" fontId="11" numFmtId="166" xfId="0" applyAlignment="1" applyBorder="1" applyFont="1" applyNumberFormat="1">
      <alignment horizontal="center"/>
    </xf>
    <xf borderId="4" fillId="7" fontId="2" numFmtId="0" xfId="0" applyBorder="1" applyFill="1" applyFont="1"/>
    <xf borderId="4" fillId="7" fontId="8" numFmtId="0" xfId="0" applyAlignment="1" applyBorder="1" applyFont="1">
      <alignment horizontal="center" readingOrder="0"/>
    </xf>
    <xf borderId="4" fillId="7" fontId="8" numFmtId="167" xfId="0" applyAlignment="1" applyBorder="1" applyFont="1" applyNumberFormat="1">
      <alignment horizontal="center" readingOrder="0"/>
    </xf>
    <xf borderId="4" fillId="7" fontId="2" numFmtId="1" xfId="0" applyAlignment="1" applyBorder="1" applyFont="1" applyNumberFormat="1">
      <alignment horizontal="center"/>
    </xf>
    <xf borderId="4" fillId="7" fontId="8" numFmtId="2" xfId="0" applyAlignment="1" applyBorder="1" applyFont="1" applyNumberFormat="1">
      <alignment horizontal="center" readingOrder="0"/>
    </xf>
    <xf borderId="4" fillId="7" fontId="11" numFmtId="0" xfId="0" applyAlignment="1" applyBorder="1" applyFont="1">
      <alignment horizontal="center" readingOrder="0"/>
    </xf>
    <xf borderId="4" fillId="7" fontId="11" numFmtId="166" xfId="0" applyAlignment="1" applyBorder="1" applyFont="1" applyNumberFormat="1">
      <alignment horizontal="center" readingOrder="0"/>
    </xf>
    <xf borderId="4" fillId="7" fontId="2" numFmtId="1" xfId="0" applyAlignment="1" applyBorder="1" applyFont="1" applyNumberFormat="1">
      <alignment horizontal="center" readingOrder="0"/>
    </xf>
    <xf borderId="1" fillId="0" fontId="1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iki.bnl.gov/conferences/images/d/de/EICRD_TOFTracker_LGAD_WeiLi_v2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7.57"/>
    <col customWidth="1" min="2" max="2" width="17.14"/>
    <col customWidth="1" min="3" max="3" width="24.71"/>
    <col customWidth="1" min="4" max="4" width="26.0"/>
  </cols>
  <sheetData>
    <row r="1">
      <c r="A1" s="1" t="s">
        <v>0</v>
      </c>
      <c r="B1" s="2" t="s">
        <v>1</v>
      </c>
    </row>
    <row r="2">
      <c r="B2" s="3"/>
    </row>
    <row r="3">
      <c r="B3" s="3"/>
    </row>
    <row r="4">
      <c r="B4" s="3"/>
      <c r="C4" s="4"/>
    </row>
    <row r="5" ht="25.5" customHeight="1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>
      <c r="A6" s="8"/>
      <c r="B6" s="9" t="s">
        <v>3</v>
      </c>
      <c r="C6" s="9" t="s">
        <v>4</v>
      </c>
      <c r="D6" s="9" t="s">
        <v>5</v>
      </c>
      <c r="E6" s="10" t="s">
        <v>6</v>
      </c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>
      <c r="A7" s="11" t="s">
        <v>7</v>
      </c>
      <c r="B7" s="12"/>
      <c r="C7" s="13">
        <v>2.0</v>
      </c>
      <c r="D7" s="14">
        <v>2.0</v>
      </c>
      <c r="E7" s="15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>
      <c r="A8" s="11" t="s">
        <v>8</v>
      </c>
      <c r="B8" s="12"/>
      <c r="C8" s="13">
        <v>2.0</v>
      </c>
      <c r="D8" s="14">
        <v>3.0</v>
      </c>
      <c r="E8" s="15" t="s">
        <v>9</v>
      </c>
      <c r="F8" s="6"/>
      <c r="G8" s="6"/>
      <c r="H8" s="6"/>
      <c r="I8" s="6"/>
      <c r="J8" s="6"/>
      <c r="K8" s="6"/>
      <c r="L8" s="6"/>
      <c r="M8" s="6"/>
      <c r="N8" s="6"/>
      <c r="O8" s="6"/>
      <c r="P8" s="7"/>
    </row>
    <row r="9">
      <c r="A9" s="11" t="s">
        <v>10</v>
      </c>
      <c r="B9" s="12"/>
      <c r="C9" s="13">
        <f>C19*32</f>
        <v>327.68</v>
      </c>
      <c r="D9" s="13"/>
      <c r="E9" s="15" t="s">
        <v>11</v>
      </c>
      <c r="F9" s="6"/>
      <c r="G9" s="6"/>
      <c r="H9" s="6"/>
      <c r="I9" s="6"/>
      <c r="J9" s="6"/>
      <c r="K9" s="6"/>
      <c r="L9" s="6"/>
      <c r="M9" s="6"/>
      <c r="N9" s="6"/>
      <c r="O9" s="6"/>
      <c r="P9" s="7"/>
    </row>
    <row r="10">
      <c r="A10" s="11" t="s">
        <v>12</v>
      </c>
      <c r="B10" s="12"/>
      <c r="C10" s="13">
        <f>C9*4</f>
        <v>1310.72</v>
      </c>
      <c r="D10" s="13">
        <f>(25*10)*D8*C7</f>
        <v>1500</v>
      </c>
      <c r="E10" s="15" t="s">
        <v>11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</row>
    <row r="11">
      <c r="A11" s="16" t="s">
        <v>13</v>
      </c>
      <c r="B11" s="12"/>
      <c r="C11" s="13">
        <v>500.0</v>
      </c>
      <c r="D11" s="12"/>
      <c r="E11" s="15" t="s">
        <v>14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</row>
    <row r="12">
      <c r="A12" s="11" t="s">
        <v>15</v>
      </c>
      <c r="B12" s="12"/>
      <c r="C12" s="13">
        <v>100.0</v>
      </c>
      <c r="D12" s="12"/>
      <c r="E12" s="15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</row>
    <row r="13">
      <c r="A13" s="11" t="s">
        <v>16</v>
      </c>
      <c r="B13" s="12"/>
      <c r="C13" s="13">
        <v>50.0</v>
      </c>
      <c r="D13" s="12"/>
      <c r="E13" s="15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</row>
    <row r="14">
      <c r="A14" s="11" t="s">
        <v>17</v>
      </c>
      <c r="B14" s="12"/>
      <c r="C14" s="13">
        <v>500.0</v>
      </c>
      <c r="D14" s="12"/>
      <c r="E14" s="15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</row>
    <row r="15">
      <c r="A15" s="11" t="s">
        <v>18</v>
      </c>
      <c r="B15" s="13">
        <v>2.0</v>
      </c>
      <c r="C15" s="17">
        <v>2.0</v>
      </c>
      <c r="D15" s="13">
        <v>5.0</v>
      </c>
      <c r="E15" s="18" t="s">
        <v>19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</row>
    <row r="16">
      <c r="A16" s="11" t="s">
        <v>20</v>
      </c>
      <c r="B16" s="19">
        <f t="shared" ref="B16:D16" si="1">B15*(0.5*0.5)</f>
        <v>0.5</v>
      </c>
      <c r="C16" s="19">
        <f t="shared" si="1"/>
        <v>0.5</v>
      </c>
      <c r="D16" s="19">
        <f t="shared" si="1"/>
        <v>1.25</v>
      </c>
      <c r="E16" s="18" t="s">
        <v>21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</row>
    <row r="17">
      <c r="A17" s="11" t="s">
        <v>22</v>
      </c>
      <c r="B17" s="19">
        <f t="shared" ref="B17:D17" si="2">B15*(15*0.1)</f>
        <v>3</v>
      </c>
      <c r="C17" s="19">
        <f t="shared" si="2"/>
        <v>3</v>
      </c>
      <c r="D17" s="19">
        <f t="shared" si="2"/>
        <v>7.5</v>
      </c>
      <c r="E17" s="18" t="s">
        <v>23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>
      <c r="A18" s="20" t="s">
        <v>24</v>
      </c>
      <c r="B18" s="21"/>
      <c r="C18" s="22" t="s">
        <v>25</v>
      </c>
      <c r="D18" s="21"/>
      <c r="E18" s="15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</row>
    <row r="19">
      <c r="A19" s="20" t="s">
        <v>26</v>
      </c>
      <c r="B19" s="21"/>
      <c r="C19" s="22">
        <f>3.2*3.2</f>
        <v>10.24</v>
      </c>
      <c r="D19" s="21"/>
      <c r="E19" s="15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</row>
    <row r="20">
      <c r="A20" s="20" t="s">
        <v>27</v>
      </c>
      <c r="B20" s="21"/>
      <c r="C20" s="22" t="s">
        <v>28</v>
      </c>
      <c r="D20" s="21"/>
      <c r="E20" s="15" t="s">
        <v>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>
      <c r="A21" s="20" t="s">
        <v>30</v>
      </c>
      <c r="B21" s="21"/>
      <c r="C21" s="22">
        <f>1.6*1.8</f>
        <v>2.88</v>
      </c>
      <c r="D21" s="21"/>
      <c r="E21" s="15" t="s">
        <v>31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>
      <c r="A22" s="20" t="s">
        <v>32</v>
      </c>
      <c r="B22" s="21"/>
      <c r="C22" s="23">
        <f>16*2</f>
        <v>32</v>
      </c>
      <c r="D22" s="21"/>
      <c r="E22" s="15" t="s">
        <v>33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>
      <c r="A23" s="20" t="s">
        <v>34</v>
      </c>
      <c r="B23" s="21"/>
      <c r="C23" s="23">
        <f>C22*C8*C7</f>
        <v>128</v>
      </c>
      <c r="D23" s="21"/>
      <c r="E23" s="15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</row>
    <row r="24">
      <c r="A24" s="20" t="s">
        <v>35</v>
      </c>
      <c r="B24" s="21"/>
      <c r="C24" s="23">
        <f>C23*4</f>
        <v>512</v>
      </c>
      <c r="D24" s="21"/>
      <c r="E24" s="15" t="s">
        <v>31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</row>
    <row r="25">
      <c r="A25" s="20" t="s">
        <v>36</v>
      </c>
      <c r="B25" s="21"/>
      <c r="C25" s="22">
        <f>32*32</f>
        <v>1024</v>
      </c>
      <c r="D25" s="21"/>
      <c r="E25" s="15" t="s">
        <v>37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>
      <c r="A26" s="20" t="s">
        <v>38</v>
      </c>
      <c r="B26" s="21"/>
      <c r="C26" s="24">
        <f>C25*4*C22</f>
        <v>131072</v>
      </c>
      <c r="D26" s="21"/>
      <c r="E26" s="15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>
      <c r="A27" s="20" t="s">
        <v>39</v>
      </c>
      <c r="B27" s="21"/>
      <c r="C27" s="24">
        <f>C25*C24</f>
        <v>524288</v>
      </c>
      <c r="D27" s="21"/>
      <c r="E27" s="15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>
      <c r="A28" s="20" t="s">
        <v>40</v>
      </c>
      <c r="B28" s="12"/>
      <c r="C28" s="13" t="s">
        <v>41</v>
      </c>
      <c r="D28" s="12"/>
      <c r="E28" s="15" t="s">
        <v>42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</row>
    <row r="29">
      <c r="A29" s="11" t="s">
        <v>43</v>
      </c>
      <c r="B29" s="14" t="s">
        <v>44</v>
      </c>
      <c r="C29" s="13" t="s">
        <v>45</v>
      </c>
      <c r="D29" s="14" t="s">
        <v>46</v>
      </c>
      <c r="E29" s="15" t="s">
        <v>47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>
      <c r="A30" s="11" t="s">
        <v>48</v>
      </c>
      <c r="B30" s="13">
        <v>0.0</v>
      </c>
      <c r="C30" s="17">
        <v>0.0</v>
      </c>
      <c r="D30" s="13" t="s">
        <v>49</v>
      </c>
      <c r="E30" s="15" t="s">
        <v>50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</row>
    <row r="31">
      <c r="A31" s="11" t="s">
        <v>51</v>
      </c>
      <c r="B31" s="12"/>
      <c r="C31" s="25"/>
      <c r="D31" s="12"/>
      <c r="E31" s="15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</row>
    <row r="32">
      <c r="A32" s="11" t="s">
        <v>52</v>
      </c>
      <c r="B32" s="12"/>
      <c r="C32" s="13" t="s">
        <v>53</v>
      </c>
      <c r="D32" s="12"/>
      <c r="E32" s="15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>
      <c r="A33" s="11" t="s">
        <v>54</v>
      </c>
      <c r="B33" s="12"/>
      <c r="C33" s="13">
        <v>250.0</v>
      </c>
      <c r="D33" s="12"/>
      <c r="E33" s="26" t="s">
        <v>55</v>
      </c>
      <c r="F33" s="27"/>
      <c r="G33" s="27"/>
      <c r="H33" s="27"/>
      <c r="I33" s="27"/>
      <c r="J33" s="28"/>
      <c r="K33" s="28"/>
      <c r="L33" s="28"/>
      <c r="M33" s="28"/>
      <c r="N33" s="28"/>
      <c r="O33" s="28"/>
      <c r="P33" s="29"/>
    </row>
    <row r="34">
      <c r="A34" s="11" t="s">
        <v>56</v>
      </c>
      <c r="B34" s="30"/>
      <c r="C34" s="19">
        <v>3834.0</v>
      </c>
      <c r="D34" s="30"/>
      <c r="E34" s="15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>
      <c r="A35" s="11" t="s">
        <v>57</v>
      </c>
      <c r="B35" s="19">
        <v>290.0</v>
      </c>
      <c r="C35" s="19"/>
      <c r="D35" s="19">
        <v>1160.0</v>
      </c>
      <c r="E35" s="31" t="s">
        <v>58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</row>
    <row r="36">
      <c r="A36" s="11" t="s">
        <v>59</v>
      </c>
      <c r="B36" s="30"/>
      <c r="C36" s="32">
        <f>299800000/C34/1000</f>
        <v>78.1950965</v>
      </c>
      <c r="D36" s="30"/>
      <c r="E36" s="15" t="s">
        <v>60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</row>
    <row r="37">
      <c r="A37" s="11" t="s">
        <v>61</v>
      </c>
      <c r="B37" s="32">
        <f>$C$36*B35/1000</f>
        <v>22.67657799</v>
      </c>
      <c r="C37" s="32"/>
      <c r="D37" s="32">
        <f>$C$36*D35/1000</f>
        <v>90.70631195</v>
      </c>
      <c r="E37" s="15" t="s">
        <v>62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>
      <c r="A38" s="11" t="s">
        <v>63</v>
      </c>
      <c r="B38" s="33">
        <f>1000/B37</f>
        <v>44.09836443</v>
      </c>
      <c r="C38" s="33"/>
      <c r="D38" s="33">
        <f>1000/D37</f>
        <v>11.02459111</v>
      </c>
      <c r="E38" s="15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</row>
    <row r="39">
      <c r="A39" s="34" t="s">
        <v>64</v>
      </c>
      <c r="B39" s="30"/>
      <c r="C39" s="35"/>
      <c r="D39" s="30"/>
      <c r="E39" s="15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</row>
    <row r="40">
      <c r="A40" s="34" t="s">
        <v>63</v>
      </c>
      <c r="B40" s="30"/>
      <c r="C40" s="36"/>
      <c r="D40" s="30"/>
      <c r="E40" s="15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</row>
    <row r="41">
      <c r="A41" s="37" t="s">
        <v>65</v>
      </c>
      <c r="B41" s="38">
        <v>6.0</v>
      </c>
      <c r="C41" s="38"/>
      <c r="D41" s="38">
        <v>12.0</v>
      </c>
      <c r="E41" s="15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>
      <c r="A42" s="37" t="s">
        <v>66</v>
      </c>
      <c r="B42" s="39">
        <f>(B41/100)/299800000*1000000000000</f>
        <v>200.1334223</v>
      </c>
      <c r="C42" s="39"/>
      <c r="D42" s="39">
        <f>(D41/100)/299800000*1000000000000</f>
        <v>400.2668446</v>
      </c>
      <c r="E42" s="15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</row>
    <row r="43">
      <c r="A43" s="37" t="s">
        <v>67</v>
      </c>
      <c r="B43" s="19">
        <v>0.9</v>
      </c>
      <c r="C43" s="36"/>
      <c r="D43" s="38">
        <v>2.0</v>
      </c>
      <c r="E43" s="15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</row>
    <row r="44">
      <c r="A44" s="37" t="s">
        <v>68</v>
      </c>
      <c r="B44" s="39">
        <f>(B43/100)/299800000*1000000000000</f>
        <v>30.02001334</v>
      </c>
      <c r="C44" s="39"/>
      <c r="D44" s="39">
        <f>(D43/100)/299800000*1000000000000</f>
        <v>66.71114076</v>
      </c>
      <c r="E44" s="15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</row>
    <row r="45">
      <c r="A45" s="34" t="s">
        <v>69</v>
      </c>
      <c r="B45" s="30"/>
      <c r="C45" s="36"/>
      <c r="D45" s="40">
        <v>500.0</v>
      </c>
      <c r="E45" s="41" t="s">
        <v>70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>
      <c r="A46" s="34" t="s">
        <v>71</v>
      </c>
      <c r="B46" s="42" t="s">
        <v>72</v>
      </c>
      <c r="C46" s="43" t="s">
        <v>73</v>
      </c>
      <c r="D46" s="42" t="s">
        <v>74</v>
      </c>
      <c r="E46" s="15" t="s">
        <v>75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7"/>
    </row>
    <row r="47">
      <c r="A47" s="44" t="s">
        <v>76</v>
      </c>
      <c r="B47" s="43"/>
      <c r="C47" s="43"/>
      <c r="D47" s="45">
        <f>D45/1000/D37</f>
        <v>0.005512295553</v>
      </c>
      <c r="E47" s="41" t="s">
        <v>77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7"/>
    </row>
    <row r="48">
      <c r="A48" s="34" t="s">
        <v>78</v>
      </c>
      <c r="B48" s="43"/>
      <c r="C48" s="43"/>
      <c r="D48" s="46">
        <f>D47/C26*100</f>
        <v>0.000004205547755</v>
      </c>
      <c r="E48" s="15"/>
      <c r="F48" s="6"/>
      <c r="G48" s="6"/>
      <c r="H48" s="6"/>
      <c r="I48" s="6"/>
      <c r="J48" s="6"/>
      <c r="K48" s="6"/>
      <c r="L48" s="6"/>
      <c r="M48" s="6"/>
      <c r="N48" s="6"/>
      <c r="O48" s="6"/>
      <c r="P48" s="7"/>
    </row>
    <row r="49">
      <c r="A49" s="34" t="s">
        <v>79</v>
      </c>
      <c r="B49" s="47"/>
      <c r="C49" s="47"/>
      <c r="D49" s="48">
        <f>1*32*D45/1000</f>
        <v>16</v>
      </c>
      <c r="E49" s="15" t="s">
        <v>80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>
      <c r="A50" s="11" t="s">
        <v>81</v>
      </c>
      <c r="B50" s="12"/>
      <c r="C50" s="25"/>
      <c r="D50" s="12"/>
      <c r="E50" s="15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</row>
    <row r="51">
      <c r="A51" s="11" t="s">
        <v>82</v>
      </c>
      <c r="B51" s="12"/>
      <c r="C51" s="25"/>
      <c r="D51" s="12"/>
      <c r="E51" s="15"/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</row>
    <row r="52">
      <c r="A52" s="11" t="s">
        <v>83</v>
      </c>
      <c r="B52" s="12"/>
      <c r="C52" s="25"/>
      <c r="D52" s="12"/>
      <c r="E52" s="15"/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</row>
    <row r="53">
      <c r="A53" s="20" t="s">
        <v>84</v>
      </c>
      <c r="B53" s="49"/>
      <c r="C53" s="50">
        <v>3.072</v>
      </c>
      <c r="D53" s="50">
        <v>3.072</v>
      </c>
      <c r="E53" s="15" t="s">
        <v>85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>
      <c r="A54" s="20" t="s">
        <v>86</v>
      </c>
      <c r="B54" s="49"/>
      <c r="C54" s="51">
        <f t="shared" ref="C54:D54" si="3">C53/$C$21</f>
        <v>1.066666667</v>
      </c>
      <c r="D54" s="51">
        <f t="shared" si="3"/>
        <v>1.066666667</v>
      </c>
      <c r="E54" s="41"/>
      <c r="F54" s="6"/>
      <c r="G54" s="6"/>
      <c r="H54" s="6"/>
      <c r="I54" s="6"/>
      <c r="J54" s="6"/>
      <c r="K54" s="6"/>
      <c r="L54" s="6"/>
      <c r="M54" s="6"/>
      <c r="N54" s="6"/>
      <c r="O54" s="6"/>
      <c r="P54" s="7"/>
    </row>
    <row r="55">
      <c r="A55" s="20" t="s">
        <v>87</v>
      </c>
      <c r="B55" s="49"/>
      <c r="C55" s="52">
        <f>C53*C24</f>
        <v>1572.864</v>
      </c>
      <c r="D55" s="52">
        <f>D53*C24</f>
        <v>1572.864</v>
      </c>
      <c r="E55" s="15" t="s">
        <v>88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7"/>
    </row>
    <row r="56">
      <c r="A56" s="20" t="s">
        <v>89</v>
      </c>
      <c r="B56" s="49"/>
      <c r="C56" s="50">
        <f>0.002*300</f>
        <v>0.6</v>
      </c>
      <c r="D56" s="50">
        <v>30.0</v>
      </c>
      <c r="E56" s="31" t="s">
        <v>90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7"/>
    </row>
    <row r="57">
      <c r="A57" s="20" t="s">
        <v>91</v>
      </c>
      <c r="B57" s="49"/>
      <c r="C57" s="53">
        <f t="shared" ref="C57:D57" si="4">C56*C10/1000</f>
        <v>0.786432</v>
      </c>
      <c r="D57" s="50">
        <f t="shared" si="4"/>
        <v>45</v>
      </c>
      <c r="E57" s="15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>
      <c r="A58" s="20" t="s">
        <v>92</v>
      </c>
      <c r="B58" s="49"/>
      <c r="C58" s="54">
        <v>6.8</v>
      </c>
      <c r="D58" s="54">
        <v>6.8</v>
      </c>
      <c r="E58" s="41" t="s">
        <v>93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</row>
    <row r="59">
      <c r="A59" s="20" t="s">
        <v>94</v>
      </c>
      <c r="B59" s="49"/>
      <c r="C59" s="55">
        <f>C58*307.2*C7*C8/1000</f>
        <v>8.35584</v>
      </c>
      <c r="D59" s="55">
        <f>D58*38.4*8*D7*D8/1000</f>
        <v>12.53376</v>
      </c>
      <c r="E59" s="41" t="s">
        <v>95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7"/>
    </row>
    <row r="60">
      <c r="A60" s="20" t="s">
        <v>96</v>
      </c>
      <c r="B60" s="49"/>
      <c r="C60" s="56">
        <f t="shared" ref="C60:D60" si="5">C55+C57+C59</f>
        <v>1582.006272</v>
      </c>
      <c r="D60" s="56">
        <f t="shared" si="5"/>
        <v>1630.39776</v>
      </c>
      <c r="E60" s="15"/>
      <c r="F60" s="6"/>
      <c r="G60" s="6"/>
      <c r="H60" s="6"/>
      <c r="I60" s="6"/>
      <c r="J60" s="6"/>
      <c r="K60" s="6"/>
      <c r="L60" s="6"/>
      <c r="M60" s="6"/>
      <c r="N60" s="6"/>
      <c r="O60" s="6"/>
      <c r="P60" s="7"/>
    </row>
    <row r="61">
      <c r="A61" s="20" t="s">
        <v>97</v>
      </c>
      <c r="B61" s="12"/>
      <c r="C61" s="13"/>
      <c r="D61" s="14" t="s">
        <v>98</v>
      </c>
      <c r="E61" s="57" t="s">
        <v>99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</sheetData>
  <mergeCells count="57">
    <mergeCell ref="A5:P5"/>
    <mergeCell ref="E6:P6"/>
    <mergeCell ref="E7:P7"/>
    <mergeCell ref="E8:P8"/>
    <mergeCell ref="E9:P9"/>
    <mergeCell ref="E10:P10"/>
    <mergeCell ref="E11:P11"/>
    <mergeCell ref="E12:P12"/>
    <mergeCell ref="E13:P13"/>
    <mergeCell ref="E14:P14"/>
    <mergeCell ref="E15:P15"/>
    <mergeCell ref="E16:P16"/>
    <mergeCell ref="E17:P17"/>
    <mergeCell ref="E18:P18"/>
    <mergeCell ref="E19:P19"/>
    <mergeCell ref="E20:P20"/>
    <mergeCell ref="E21:P21"/>
    <mergeCell ref="E22:P22"/>
    <mergeCell ref="E23:P23"/>
    <mergeCell ref="E24:P24"/>
    <mergeCell ref="E25:P25"/>
    <mergeCell ref="E26:P26"/>
    <mergeCell ref="E27:P27"/>
    <mergeCell ref="E28:P28"/>
    <mergeCell ref="E29:P29"/>
    <mergeCell ref="E30:P30"/>
    <mergeCell ref="E31:P31"/>
    <mergeCell ref="E32:P32"/>
    <mergeCell ref="E33:I33"/>
    <mergeCell ref="E34:P34"/>
    <mergeCell ref="E35:P35"/>
    <mergeCell ref="E36:P36"/>
    <mergeCell ref="E37:P37"/>
    <mergeCell ref="E38:P38"/>
    <mergeCell ref="E39:P39"/>
    <mergeCell ref="E40:P40"/>
    <mergeCell ref="E41:P41"/>
    <mergeCell ref="E42:P42"/>
    <mergeCell ref="E43:P43"/>
    <mergeCell ref="E44:P44"/>
    <mergeCell ref="E45:P45"/>
    <mergeCell ref="E46:P46"/>
    <mergeCell ref="E54:P54"/>
    <mergeCell ref="E55:P55"/>
    <mergeCell ref="E56:P56"/>
    <mergeCell ref="E57:P57"/>
    <mergeCell ref="E58:P58"/>
    <mergeCell ref="E59:P59"/>
    <mergeCell ref="E60:P60"/>
    <mergeCell ref="E61:P61"/>
    <mergeCell ref="E47:P47"/>
    <mergeCell ref="E48:P48"/>
    <mergeCell ref="E49:P49"/>
    <mergeCell ref="E50:P50"/>
    <mergeCell ref="E51:P51"/>
    <mergeCell ref="E52:P52"/>
    <mergeCell ref="E53:P53"/>
  </mergeCells>
  <hyperlinks>
    <hyperlink r:id="rId1" ref="E61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