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ttane\Desktop\FEB &amp; Readout\"/>
    </mc:Choice>
  </mc:AlternateContent>
  <xr:revisionPtr revIDLastSave="0" documentId="13_ncr:1_{E0FB1FFE-293A-4934-896B-4A98E3DE8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F35" i="2"/>
  <c r="E35" i="2"/>
  <c r="D24" i="2"/>
  <c r="J26" i="2"/>
  <c r="J25" i="2"/>
  <c r="D12" i="2"/>
  <c r="D5" i="2"/>
  <c r="D16" i="2"/>
  <c r="D11" i="2"/>
  <c r="F33" i="2"/>
  <c r="F34" i="2" s="1"/>
  <c r="E33" i="2"/>
  <c r="E34" i="2" s="1"/>
  <c r="D33" i="2"/>
  <c r="D34" i="2" s="1"/>
  <c r="D10" i="2"/>
  <c r="D9" i="2"/>
  <c r="D25" i="2" l="1"/>
  <c r="D41" i="2" s="1"/>
  <c r="D43" i="2"/>
  <c r="D26" i="2"/>
  <c r="D27" i="2" s="1"/>
  <c r="B39" i="2" s="1"/>
  <c r="D39" i="2" s="1"/>
  <c r="D35" i="2"/>
  <c r="D37" i="2" s="1"/>
  <c r="E43" i="2"/>
  <c r="E37" i="2"/>
  <c r="F43" i="2"/>
  <c r="F37" i="2"/>
  <c r="E39" i="2" l="1"/>
  <c r="F39" i="2"/>
  <c r="D42" i="2"/>
  <c r="F41" i="2"/>
  <c r="F42" i="2" s="1"/>
  <c r="E41" i="2"/>
  <c r="E42" i="2" s="1"/>
  <c r="F36" i="2"/>
  <c r="F38" i="2" s="1"/>
  <c r="F40" i="2" s="1"/>
  <c r="E36" i="2"/>
  <c r="E38" i="2" s="1"/>
  <c r="D36" i="2"/>
  <c r="D38" i="2" s="1"/>
  <c r="D40" i="2" s="1"/>
  <c r="E40" i="2" l="1"/>
  <c r="D44" i="2"/>
  <c r="D45" i="2" s="1"/>
  <c r="E44" i="2"/>
  <c r="E45" i="2" s="1"/>
  <c r="F44" i="2"/>
  <c r="F45" i="2" s="1"/>
</calcChain>
</file>

<file path=xl/sharedStrings.xml><?xml version="1.0" encoding="utf-8"?>
<sst xmlns="http://schemas.openxmlformats.org/spreadsheetml/2006/main" count="86" uniqueCount="68">
  <si>
    <t>Number of crystals</t>
  </si>
  <si>
    <t>Number of SiPMs per crystal</t>
  </si>
  <si>
    <t>CALOROC: number of channels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</si>
  <si>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</si>
  <si>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No merging</t>
  </si>
  <si>
    <t>Full merging</t>
  </si>
  <si>
    <t>Merging by 4</t>
  </si>
  <si>
    <t>OPTIONS</t>
  </si>
  <si>
    <t>Number of channels per crystal</t>
  </si>
  <si>
    <t>Merging</t>
  </si>
  <si>
    <t>Total number of channels</t>
  </si>
  <si>
    <t>Number of CALOROCs per lpGBT</t>
  </si>
  <si>
    <t>Number of CALOROCs</t>
  </si>
  <si>
    <t>Number of lpGBT</t>
  </si>
  <si>
    <t>mW</t>
  </si>
  <si>
    <t xml:space="preserve">Power consumption of lpGBT </t>
  </si>
  <si>
    <t>Power consumption of CALOROC per channel</t>
  </si>
  <si>
    <t>Power consumption of cables per cm</t>
  </si>
  <si>
    <t>Lenght of the cables</t>
  </si>
  <si>
    <t>mW/cm</t>
  </si>
  <si>
    <t>cm</t>
  </si>
  <si>
    <t>Voltage regulators</t>
  </si>
  <si>
    <t>Clock distribution</t>
  </si>
  <si>
    <t>VTRx+</t>
  </si>
  <si>
    <t>Number of CALOROCs per FEB</t>
  </si>
  <si>
    <t>Power consumption of CALOROCs</t>
  </si>
  <si>
    <t>W</t>
  </si>
  <si>
    <t>Power consumption of lpGBT</t>
  </si>
  <si>
    <t>CALOROC Surface</t>
  </si>
  <si>
    <t>lpGBT Surface</t>
  </si>
  <si>
    <t>Total power consumption</t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</si>
  <si>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</si>
  <si>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Number of connectors</t>
  </si>
  <si>
    <t>Option with flat cables</t>
  </si>
  <si>
    <t>Connector dimensions</t>
  </si>
  <si>
    <t>Connectors surface</t>
  </si>
  <si>
    <t>Total surface required</t>
  </si>
  <si>
    <t>Diameter of the calorimeter</t>
  </si>
  <si>
    <t>Diameter of the internal hole</t>
  </si>
  <si>
    <t>For the beam pipe</t>
  </si>
  <si>
    <t>Approximate surface available</t>
  </si>
  <si>
    <t>Number of lpGBT per FEB</t>
  </si>
  <si>
    <t>Number of flat cables to FEB</t>
  </si>
  <si>
    <t>Number of FEBs mini</t>
  </si>
  <si>
    <t>Patch panel</t>
  </si>
  <si>
    <t>15mm x 5mm</t>
  </si>
  <si>
    <t>9mm x 9mm</t>
  </si>
  <si>
    <t>lpGBT surface</t>
  </si>
  <si>
    <t>CALOROC surface</t>
  </si>
  <si>
    <t>FACE B</t>
  </si>
  <si>
    <t>FACE B of the FEB / independant to the patch panel</t>
  </si>
  <si>
    <t>Option with flat cables &amp; Standard FEB</t>
  </si>
  <si>
    <t>FEB surface standard</t>
  </si>
  <si>
    <t>FACE A of the FEB</t>
  </si>
  <si>
    <t>Safety coefficient</t>
  </si>
  <si>
    <t>ELEMENTS</t>
  </si>
  <si>
    <r>
      <t>S (cm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</t>
    </r>
  </si>
  <si>
    <t>X (cm)</t>
  </si>
  <si>
    <t>Y (cm)</t>
  </si>
  <si>
    <t>Nb CALOROC</t>
  </si>
  <si>
    <t>Safety equivalent coefficient</t>
  </si>
  <si>
    <t>Standard size: X cm x Y cm     →</t>
  </si>
  <si>
    <t>Surface FEB available</t>
  </si>
  <si>
    <t>Nb Connectors</t>
  </si>
  <si>
    <t>FACE A</t>
  </si>
  <si>
    <r>
      <rPr>
        <b/>
        <i/>
        <sz val="11"/>
        <color rgb="FF00B050"/>
        <rFont val="Times New Roman"/>
        <family val="1"/>
      </rPr>
      <t>≈ ??</t>
    </r>
    <r>
      <rPr>
        <b/>
        <i/>
        <sz val="11"/>
        <color rgb="FF00B050"/>
        <rFont val="Calibri"/>
        <family val="2"/>
        <scheme val="minor"/>
      </rPr>
      <t xml:space="preserve"> CALOROC per FEB 20cmx10cm</t>
    </r>
  </si>
  <si>
    <r>
      <rPr>
        <b/>
        <i/>
        <sz val="11"/>
        <color rgb="FF00B050"/>
        <rFont val="Times New Roman"/>
        <family val="1"/>
      </rPr>
      <t>≈ ??</t>
    </r>
    <r>
      <rPr>
        <b/>
        <i/>
        <sz val="11"/>
        <color rgb="FF00B050"/>
        <rFont val="Calibri"/>
        <family val="2"/>
        <scheme val="minor"/>
      </rPr>
      <t xml:space="preserve"> Connectors per FEB 20cmx10cm</t>
    </r>
  </si>
  <si>
    <t>17mm x 17mm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</si>
</sst>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11"/>
      <color rgb="FF00B050"/>
      <name val="Calibri"/>
      <family val="1"/>
      <scheme val="minor"/>
    </font>
    <font>
      <b/>
      <i/>
      <sz val="11"/>
      <color rgb="FF00B050"/>
      <name val="Times New Roman"/>
      <family val="1"/>
    </font>
    <font>
      <b/>
      <i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9184-5826-4520-9E16-FE8F999B5DD5}">
  <dimension ref="B2:M49"/>
  <sheetViews>
    <sheetView showGridLines="0" tabSelected="1" zoomScale="85" zoomScaleNormal="85" workbookViewId="0">
      <selection activeCell="P18" sqref="P18"/>
    </sheetView>
  </sheetViews>
  <sheetFormatPr baseColWidth="10" defaultColWidth="8.7109375" defaultRowHeight="15" x14ac:dyDescent="0.25"/>
  <cols>
    <col min="1" max="1" width="13.42578125" style="2" customWidth="1"/>
    <col min="2" max="2" width="8.7109375" style="2" customWidth="1"/>
    <col min="3" max="3" width="41.42578125" style="2" bestFit="1" customWidth="1"/>
    <col min="4" max="4" width="12" style="2" bestFit="1" customWidth="1"/>
    <col min="5" max="5" width="12.42578125" style="2" bestFit="1" customWidth="1"/>
    <col min="6" max="6" width="10.42578125" style="2" bestFit="1" customWidth="1"/>
    <col min="7" max="7" width="8.7109375" style="2"/>
    <col min="8" max="8" width="15.140625" style="2" customWidth="1"/>
    <col min="9" max="10" width="8.7109375" style="2"/>
    <col min="11" max="11" width="13.42578125" style="2" bestFit="1" customWidth="1"/>
    <col min="12" max="13" width="8.7109375" style="2"/>
    <col min="14" max="14" width="12" style="2" bestFit="1" customWidth="1"/>
    <col min="15" max="16384" width="8.7109375" style="2"/>
  </cols>
  <sheetData>
    <row r="2" spans="3:7" x14ac:dyDescent="0.25">
      <c r="C2" s="47" t="s">
        <v>55</v>
      </c>
      <c r="D2" s="43"/>
      <c r="E2" s="1"/>
    </row>
    <row r="3" spans="3:7" x14ac:dyDescent="0.25">
      <c r="C3" s="31" t="s">
        <v>37</v>
      </c>
      <c r="D3" s="18">
        <v>134</v>
      </c>
      <c r="E3" s="1" t="s">
        <v>20</v>
      </c>
    </row>
    <row r="4" spans="3:7" x14ac:dyDescent="0.25">
      <c r="C4" s="31" t="s">
        <v>38</v>
      </c>
      <c r="D4" s="19">
        <v>22</v>
      </c>
      <c r="E4" s="1" t="s">
        <v>20</v>
      </c>
      <c r="F4" s="4" t="s">
        <v>39</v>
      </c>
    </row>
    <row r="5" spans="3:7" ht="17.25" x14ac:dyDescent="0.25">
      <c r="C5" s="31" t="s">
        <v>40</v>
      </c>
      <c r="D5" s="5">
        <f>(PI()*D3^2/4-PI()*D4^2/4)</f>
        <v>13722.476710880217</v>
      </c>
      <c r="E5" s="1" t="s">
        <v>31</v>
      </c>
      <c r="F5" s="4" t="s">
        <v>49</v>
      </c>
    </row>
    <row r="6" spans="3:7" x14ac:dyDescent="0.25">
      <c r="C6" s="31" t="s">
        <v>0</v>
      </c>
      <c r="D6" s="19">
        <v>2740</v>
      </c>
      <c r="F6" s="4"/>
      <c r="G6" s="4"/>
    </row>
    <row r="7" spans="3:7" x14ac:dyDescent="0.25">
      <c r="C7" s="31" t="s">
        <v>1</v>
      </c>
      <c r="D7" s="19">
        <v>16</v>
      </c>
      <c r="F7" s="4"/>
      <c r="G7" s="4"/>
    </row>
    <row r="8" spans="3:7" x14ac:dyDescent="0.25">
      <c r="C8" s="32" t="s">
        <v>44</v>
      </c>
      <c r="D8" s="19">
        <v>1</v>
      </c>
      <c r="F8" s="4" t="s">
        <v>33</v>
      </c>
      <c r="G8" s="4"/>
    </row>
    <row r="9" spans="3:7" x14ac:dyDescent="0.25">
      <c r="C9" s="32" t="s">
        <v>32</v>
      </c>
      <c r="D9" s="5">
        <f>D6/D8</f>
        <v>2740</v>
      </c>
      <c r="F9" s="4" t="s">
        <v>33</v>
      </c>
      <c r="G9" s="4"/>
    </row>
    <row r="10" spans="3:7" x14ac:dyDescent="0.25">
      <c r="C10" s="32" t="s">
        <v>42</v>
      </c>
      <c r="D10" s="5">
        <f>D6/D8</f>
        <v>2740</v>
      </c>
      <c r="F10" s="4" t="s">
        <v>33</v>
      </c>
      <c r="G10" s="4"/>
    </row>
    <row r="11" spans="3:7" ht="17.25" x14ac:dyDescent="0.25">
      <c r="C11" s="32" t="s">
        <v>34</v>
      </c>
      <c r="D11" s="5">
        <f>15*5</f>
        <v>75</v>
      </c>
      <c r="E11" s="2" t="s">
        <v>3</v>
      </c>
      <c r="F11" s="4" t="s">
        <v>45</v>
      </c>
      <c r="G11" s="4"/>
    </row>
    <row r="12" spans="3:7" ht="17.25" x14ac:dyDescent="0.25">
      <c r="C12" s="32" t="s">
        <v>35</v>
      </c>
      <c r="D12" s="5">
        <f>D9*D11*D8*10^-2</f>
        <v>2055</v>
      </c>
      <c r="E12" s="2" t="s">
        <v>31</v>
      </c>
      <c r="F12" s="4" t="s">
        <v>50</v>
      </c>
      <c r="G12" s="4"/>
    </row>
    <row r="13" spans="3:7" x14ac:dyDescent="0.25">
      <c r="C13" s="31" t="s">
        <v>2</v>
      </c>
      <c r="D13" s="20">
        <v>36</v>
      </c>
      <c r="F13" s="4"/>
    </row>
    <row r="14" spans="3:7" ht="17.25" x14ac:dyDescent="0.25">
      <c r="C14" s="31" t="s">
        <v>48</v>
      </c>
      <c r="D14" s="20">
        <f>17*17*10^-2</f>
        <v>2.89</v>
      </c>
      <c r="E14" s="2" t="s">
        <v>31</v>
      </c>
      <c r="F14" s="4" t="s">
        <v>67</v>
      </c>
    </row>
    <row r="15" spans="3:7" x14ac:dyDescent="0.25">
      <c r="C15" s="31" t="s">
        <v>11</v>
      </c>
      <c r="D15" s="20">
        <v>3</v>
      </c>
      <c r="F15" s="4"/>
    </row>
    <row r="16" spans="3:7" ht="17.25" x14ac:dyDescent="0.25">
      <c r="C16" s="31" t="s">
        <v>47</v>
      </c>
      <c r="D16" s="20">
        <f>9*9*10^-2</f>
        <v>0.81</v>
      </c>
      <c r="E16" s="2" t="s">
        <v>31</v>
      </c>
      <c r="F16" s="4" t="s">
        <v>46</v>
      </c>
    </row>
    <row r="17" spans="3:13" x14ac:dyDescent="0.25">
      <c r="C17" s="31" t="s">
        <v>15</v>
      </c>
      <c r="D17" s="20">
        <v>500</v>
      </c>
      <c r="E17" s="2" t="s">
        <v>14</v>
      </c>
      <c r="F17" s="4"/>
    </row>
    <row r="18" spans="3:13" x14ac:dyDescent="0.25">
      <c r="C18" s="31" t="s">
        <v>16</v>
      </c>
      <c r="D18" s="20">
        <v>15</v>
      </c>
      <c r="E18" s="2" t="s">
        <v>14</v>
      </c>
      <c r="F18" s="4"/>
    </row>
    <row r="19" spans="3:13" x14ac:dyDescent="0.25">
      <c r="C19" s="31" t="s">
        <v>17</v>
      </c>
      <c r="D19" s="20"/>
      <c r="E19" s="2" t="s">
        <v>19</v>
      </c>
      <c r="F19" s="4"/>
    </row>
    <row r="20" spans="3:13" x14ac:dyDescent="0.25">
      <c r="C20" s="31" t="s">
        <v>18</v>
      </c>
      <c r="D20" s="20"/>
      <c r="E20" s="2" t="s">
        <v>20</v>
      </c>
      <c r="F20" s="4"/>
    </row>
    <row r="21" spans="3:13" x14ac:dyDescent="0.25">
      <c r="C21" s="31" t="s">
        <v>21</v>
      </c>
      <c r="D21" s="20"/>
      <c r="E21" s="7"/>
      <c r="F21" s="4"/>
    </row>
    <row r="22" spans="3:13" x14ac:dyDescent="0.25">
      <c r="C22" s="31" t="s">
        <v>22</v>
      </c>
      <c r="D22" s="20"/>
      <c r="E22" s="7"/>
      <c r="F22" s="4"/>
    </row>
    <row r="23" spans="3:13" x14ac:dyDescent="0.25">
      <c r="C23" s="33" t="s">
        <v>23</v>
      </c>
      <c r="D23" s="27"/>
      <c r="E23" s="7"/>
      <c r="F23" s="4"/>
    </row>
    <row r="24" spans="3:13" ht="17.25" x14ac:dyDescent="0.25">
      <c r="C24" s="33" t="s">
        <v>52</v>
      </c>
      <c r="D24" s="25">
        <f>J24*L24</f>
        <v>200</v>
      </c>
      <c r="E24" s="8" t="s">
        <v>31</v>
      </c>
      <c r="F24" s="4" t="s">
        <v>61</v>
      </c>
      <c r="I24" s="22" t="s">
        <v>57</v>
      </c>
      <c r="J24" s="23">
        <v>20</v>
      </c>
      <c r="K24" s="22" t="s">
        <v>58</v>
      </c>
      <c r="L24" s="23">
        <v>10</v>
      </c>
    </row>
    <row r="25" spans="3:13" ht="17.25" x14ac:dyDescent="0.25">
      <c r="C25" s="34" t="s">
        <v>24</v>
      </c>
      <c r="D25" s="24">
        <f>(D24/J25)*L25</f>
        <v>3</v>
      </c>
      <c r="E25" s="8"/>
      <c r="F25" s="48" t="s">
        <v>65</v>
      </c>
      <c r="I25" s="22" t="s">
        <v>56</v>
      </c>
      <c r="J25" s="23">
        <f>J24*L24</f>
        <v>200</v>
      </c>
      <c r="K25" s="22" t="s">
        <v>59</v>
      </c>
      <c r="L25" s="23">
        <v>3</v>
      </c>
      <c r="M25" s="2" t="s">
        <v>64</v>
      </c>
    </row>
    <row r="26" spans="3:13" ht="17.25" x14ac:dyDescent="0.25">
      <c r="C26" s="34" t="s">
        <v>41</v>
      </c>
      <c r="D26" s="24">
        <f>ROUNDUP(D25/3,0)</f>
        <v>1</v>
      </c>
      <c r="E26" s="8"/>
      <c r="F26" s="48" t="s">
        <v>66</v>
      </c>
      <c r="I26" s="22" t="s">
        <v>56</v>
      </c>
      <c r="J26" s="23">
        <f>J24*L24</f>
        <v>200</v>
      </c>
      <c r="K26" s="22" t="s">
        <v>63</v>
      </c>
      <c r="L26" s="23">
        <v>110</v>
      </c>
      <c r="M26" s="2" t="s">
        <v>49</v>
      </c>
    </row>
    <row r="27" spans="3:13" x14ac:dyDescent="0.25">
      <c r="C27" s="33" t="s">
        <v>60</v>
      </c>
      <c r="D27" s="26">
        <f>ROUNDUP(D24/(D25*D14+D26*D16),0)</f>
        <v>22</v>
      </c>
      <c r="E27" s="8"/>
      <c r="F27" s="4"/>
    </row>
    <row r="28" spans="3:13" x14ac:dyDescent="0.25">
      <c r="D28" s="29"/>
      <c r="E28" s="8"/>
      <c r="F28" s="4"/>
    </row>
    <row r="29" spans="3:13" x14ac:dyDescent="0.25">
      <c r="D29" s="7"/>
      <c r="E29" s="7"/>
    </row>
    <row r="31" spans="3:13" x14ac:dyDescent="0.25">
      <c r="C31" s="44" t="s">
        <v>7</v>
      </c>
      <c r="D31" s="45" t="s">
        <v>5</v>
      </c>
      <c r="E31" s="46" t="s">
        <v>6</v>
      </c>
      <c r="F31" s="46" t="s">
        <v>4</v>
      </c>
      <c r="G31" s="9"/>
    </row>
    <row r="32" spans="3:13" x14ac:dyDescent="0.25">
      <c r="C32" s="35" t="s">
        <v>9</v>
      </c>
      <c r="D32" s="10">
        <v>16</v>
      </c>
      <c r="E32" s="11">
        <v>4</v>
      </c>
      <c r="F32" s="11">
        <v>1</v>
      </c>
      <c r="G32" s="9"/>
      <c r="H32" s="4"/>
    </row>
    <row r="33" spans="2:8" x14ac:dyDescent="0.25">
      <c r="C33" s="9" t="s">
        <v>8</v>
      </c>
      <c r="D33" s="12">
        <f>D7/D32</f>
        <v>1</v>
      </c>
      <c r="E33" s="6">
        <f>D7/E32</f>
        <v>4</v>
      </c>
      <c r="F33" s="6">
        <f>D7/F32</f>
        <v>16</v>
      </c>
      <c r="G33" s="9"/>
      <c r="H33" s="4"/>
    </row>
    <row r="34" spans="2:8" x14ac:dyDescent="0.25">
      <c r="C34" s="36" t="s">
        <v>10</v>
      </c>
      <c r="D34" s="13">
        <f>D33*$D$6</f>
        <v>2740</v>
      </c>
      <c r="E34" s="14">
        <f t="shared" ref="E34:F34" si="0">E33*$D$6</f>
        <v>10960</v>
      </c>
      <c r="F34" s="14">
        <f t="shared" si="0"/>
        <v>43840</v>
      </c>
      <c r="G34" s="9"/>
      <c r="H34" s="4"/>
    </row>
    <row r="35" spans="2:8" x14ac:dyDescent="0.25">
      <c r="C35" s="37" t="s">
        <v>12</v>
      </c>
      <c r="D35" s="15">
        <f>ROUNDUP(D34/$D$13,0)</f>
        <v>77</v>
      </c>
      <c r="E35" s="16">
        <f>ROUNDUP(E34/$D$13,0)</f>
        <v>305</v>
      </c>
      <c r="F35" s="38">
        <f>ROUNDUP(F34/$D$13,0)</f>
        <v>1218</v>
      </c>
      <c r="G35" s="9"/>
      <c r="H35" s="4"/>
    </row>
    <row r="36" spans="2:8" x14ac:dyDescent="0.25">
      <c r="C36" s="37" t="s">
        <v>13</v>
      </c>
      <c r="D36" s="15">
        <f>ROUNDUP(D35/3,0)</f>
        <v>26</v>
      </c>
      <c r="E36" s="14">
        <f t="shared" ref="E36:F36" si="1">ROUNDUP(E35/3,0)</f>
        <v>102</v>
      </c>
      <c r="F36" s="38">
        <f t="shared" si="1"/>
        <v>406</v>
      </c>
      <c r="G36" s="9"/>
      <c r="H36" s="4"/>
    </row>
    <row r="37" spans="2:8" ht="17.25" x14ac:dyDescent="0.25">
      <c r="C37" s="35" t="s">
        <v>28</v>
      </c>
      <c r="D37" s="10">
        <f>D35*$D$14</f>
        <v>222.53</v>
      </c>
      <c r="E37" s="11">
        <f t="shared" ref="E37" si="2">E35*$D$14</f>
        <v>881.45</v>
      </c>
      <c r="F37" s="11">
        <f>F35*$D$14</f>
        <v>3520.02</v>
      </c>
      <c r="G37" s="9" t="s">
        <v>31</v>
      </c>
      <c r="H37" s="4" t="s">
        <v>53</v>
      </c>
    </row>
    <row r="38" spans="2:8" ht="17.25" x14ac:dyDescent="0.25">
      <c r="C38" s="9" t="s">
        <v>29</v>
      </c>
      <c r="D38" s="12">
        <f>D36*$D$16</f>
        <v>21.060000000000002</v>
      </c>
      <c r="E38" s="6">
        <f t="shared" ref="E38:F38" si="3">E36*$D$16</f>
        <v>82.62</v>
      </c>
      <c r="F38" s="6">
        <f t="shared" si="3"/>
        <v>328.86</v>
      </c>
      <c r="G38" s="9" t="s">
        <v>31</v>
      </c>
      <c r="H38" s="4" t="s">
        <v>53</v>
      </c>
    </row>
    <row r="39" spans="2:8" x14ac:dyDescent="0.25">
      <c r="B39" s="49">
        <f>D27</f>
        <v>22</v>
      </c>
      <c r="C39" s="9" t="s">
        <v>54</v>
      </c>
      <c r="D39" s="12">
        <f>B39</f>
        <v>22</v>
      </c>
      <c r="E39" s="6">
        <f>B39</f>
        <v>22</v>
      </c>
      <c r="F39" s="6">
        <f>B39</f>
        <v>22</v>
      </c>
      <c r="G39" s="9"/>
      <c r="H39" s="4"/>
    </row>
    <row r="40" spans="2:8" ht="17.25" x14ac:dyDescent="0.25">
      <c r="C40" s="39" t="s">
        <v>36</v>
      </c>
      <c r="D40" s="28">
        <f>(D37+D38)*D39</f>
        <v>5358.9800000000005</v>
      </c>
      <c r="E40" s="28">
        <f>(E37+E38)*E39</f>
        <v>21209.54</v>
      </c>
      <c r="F40" s="26">
        <f>(F37+F38)*F39</f>
        <v>84675.36</v>
      </c>
      <c r="G40" s="9" t="s">
        <v>31</v>
      </c>
      <c r="H40" s="4" t="s">
        <v>53</v>
      </c>
    </row>
    <row r="41" spans="2:8" x14ac:dyDescent="0.25">
      <c r="C41" s="40" t="s">
        <v>43</v>
      </c>
      <c r="D41" s="17">
        <f>ROUNDUP(D35/$D$25,0)</f>
        <v>26</v>
      </c>
      <c r="E41" s="17">
        <f>ROUNDUP(E35/$D$25,0)</f>
        <v>102</v>
      </c>
      <c r="F41" s="41">
        <f>ROUNDUP(F35/$D$25,0)</f>
        <v>406</v>
      </c>
      <c r="G41" s="9"/>
      <c r="H41" s="4" t="s">
        <v>51</v>
      </c>
    </row>
    <row r="42" spans="2:8" x14ac:dyDescent="0.25">
      <c r="C42" s="40" t="s">
        <v>62</v>
      </c>
      <c r="D42" s="21">
        <f>D41*$D$24</f>
        <v>5200</v>
      </c>
      <c r="E42" s="21">
        <f t="shared" ref="E42:F42" si="4">E41*$D$24</f>
        <v>20400</v>
      </c>
      <c r="F42" s="42">
        <f t="shared" si="4"/>
        <v>81200</v>
      </c>
      <c r="G42" s="9"/>
      <c r="H42" s="4"/>
    </row>
    <row r="43" spans="2:8" x14ac:dyDescent="0.25">
      <c r="C43" s="35" t="s">
        <v>25</v>
      </c>
      <c r="D43" s="10">
        <f>D34*$D$18/1000</f>
        <v>41.1</v>
      </c>
      <c r="E43" s="11">
        <f>E34*$D$18/1000</f>
        <v>164.4</v>
      </c>
      <c r="F43" s="11">
        <f>F34*$D$18/1000</f>
        <v>657.6</v>
      </c>
      <c r="G43" s="9" t="s">
        <v>26</v>
      </c>
      <c r="H43" s="4"/>
    </row>
    <row r="44" spans="2:8" x14ac:dyDescent="0.25">
      <c r="C44" s="9" t="s">
        <v>27</v>
      </c>
      <c r="D44" s="12">
        <f>D36*$D$17/1000</f>
        <v>13</v>
      </c>
      <c r="E44" s="6">
        <f>E36*$D$17/1000</f>
        <v>51</v>
      </c>
      <c r="F44" s="6">
        <f>F36*$D$17/1000</f>
        <v>203</v>
      </c>
      <c r="G44" s="9" t="s">
        <v>26</v>
      </c>
      <c r="H44" s="4"/>
    </row>
    <row r="45" spans="2:8" x14ac:dyDescent="0.25">
      <c r="C45" s="36" t="s">
        <v>30</v>
      </c>
      <c r="D45" s="13">
        <f>D43+D44</f>
        <v>54.1</v>
      </c>
      <c r="E45" s="14">
        <f t="shared" ref="E45" si="5">E43+E44</f>
        <v>215.4</v>
      </c>
      <c r="F45" s="14">
        <f t="shared" ref="F45" si="6">F43+F44</f>
        <v>860.6</v>
      </c>
      <c r="G45" s="9" t="s">
        <v>26</v>
      </c>
      <c r="H45" s="4"/>
    </row>
    <row r="46" spans="2:8" x14ac:dyDescent="0.25">
      <c r="D46" s="29"/>
      <c r="E46" s="29"/>
      <c r="F46" s="29"/>
      <c r="G46" s="1"/>
      <c r="H46" s="4"/>
    </row>
    <row r="47" spans="2:8" x14ac:dyDescent="0.25">
      <c r="C47" s="3"/>
      <c r="D47" s="30"/>
      <c r="E47" s="30"/>
      <c r="F47" s="30"/>
      <c r="G47" s="1"/>
      <c r="H47" s="4"/>
    </row>
    <row r="48" spans="2:8" x14ac:dyDescent="0.25">
      <c r="C48" s="3"/>
      <c r="D48" s="30"/>
      <c r="E48" s="30"/>
      <c r="F48" s="30"/>
      <c r="G48" s="1"/>
      <c r="H48" s="4"/>
    </row>
    <row r="49" spans="3:8" x14ac:dyDescent="0.25">
      <c r="C49" s="3"/>
      <c r="D49" s="30"/>
      <c r="E49" s="30"/>
      <c r="F49" s="30"/>
      <c r="G49" s="1"/>
      <c r="H49" s="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Bettane</dc:creator>
  <cp:lastModifiedBy>Julien Bettane</cp:lastModifiedBy>
  <dcterms:created xsi:type="dcterms:W3CDTF">2015-06-05T18:19:34Z</dcterms:created>
  <dcterms:modified xsi:type="dcterms:W3CDTF">2025-02-21T16:45:15Z</dcterms:modified>
</cp:coreProperties>
</file>