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1080" yWindow="0" windowWidth="20730" windowHeight="11760" tabRatio="500"/>
  </bookViews>
  <sheets>
    <sheet name="Variables" sheetId="1" r:id="rId1"/>
    <sheet name="Results" sheetId="2" r:id="rId2"/>
  </sheets>
  <definedNames>
    <definedName name="COUNTUP">Results!$A$1:$A$32</definedName>
    <definedName name="MAT">Variables!$A$38:$D$41</definedName>
    <definedName name="MATERIAL">Variables!$A$38:$D$40</definedName>
    <definedName name="MATERIALS">Variables!$A$38:$D$40</definedName>
    <definedName name="WIRE">Variables!$A$19:$G$35</definedName>
    <definedName name="WIREGAUGES">Variables!$A$19:$F$35</definedName>
    <definedName name="WIRES">Variables!$A$19:$F$35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" i="2" l="1"/>
  <c r="E3" i="2"/>
  <c r="G3" i="2"/>
  <c r="I3" i="2"/>
  <c r="K3" i="2"/>
  <c r="P3" i="2"/>
  <c r="W3" i="2"/>
  <c r="H3" i="2"/>
  <c r="J3" i="2"/>
  <c r="Q3" i="2"/>
  <c r="AA3" i="2"/>
  <c r="P21" i="2"/>
  <c r="AD3" i="2"/>
  <c r="AK3" i="2"/>
  <c r="AE3" i="2"/>
  <c r="AO3" i="2"/>
  <c r="Q21" i="2"/>
  <c r="AR3" i="2"/>
  <c r="AY3" i="2"/>
  <c r="AS3" i="2"/>
  <c r="BC3" i="2"/>
  <c r="R21" i="2"/>
  <c r="BF3" i="2"/>
  <c r="BM3" i="2"/>
  <c r="BG3" i="2"/>
  <c r="BQ3" i="2"/>
  <c r="S21" i="2"/>
  <c r="BT3" i="2"/>
  <c r="CA3" i="2"/>
  <c r="BU3" i="2"/>
  <c r="CE3" i="2"/>
  <c r="T21" i="2"/>
  <c r="D4" i="2"/>
  <c r="E4" i="2"/>
  <c r="G4" i="2"/>
  <c r="I4" i="2"/>
  <c r="K4" i="2"/>
  <c r="P4" i="2"/>
  <c r="W4" i="2"/>
  <c r="H4" i="2"/>
  <c r="J4" i="2"/>
  <c r="Q4" i="2"/>
  <c r="AA4" i="2"/>
  <c r="P22" i="2"/>
  <c r="AD4" i="2"/>
  <c r="AK4" i="2"/>
  <c r="AE4" i="2"/>
  <c r="AO4" i="2"/>
  <c r="Q22" i="2"/>
  <c r="AR4" i="2"/>
  <c r="AY4" i="2"/>
  <c r="AS4" i="2"/>
  <c r="BC4" i="2"/>
  <c r="R22" i="2"/>
  <c r="BF4" i="2"/>
  <c r="BM4" i="2"/>
  <c r="BG4" i="2"/>
  <c r="BQ4" i="2"/>
  <c r="S22" i="2"/>
  <c r="BT4" i="2"/>
  <c r="CA4" i="2"/>
  <c r="BU4" i="2"/>
  <c r="CE4" i="2"/>
  <c r="T22" i="2"/>
  <c r="D5" i="2"/>
  <c r="E5" i="2"/>
  <c r="G5" i="2"/>
  <c r="I5" i="2"/>
  <c r="K5" i="2"/>
  <c r="P5" i="2"/>
  <c r="W5" i="2"/>
  <c r="H5" i="2"/>
  <c r="J5" i="2"/>
  <c r="Q5" i="2"/>
  <c r="AA5" i="2"/>
  <c r="P23" i="2"/>
  <c r="AD5" i="2"/>
  <c r="AK5" i="2"/>
  <c r="AE5" i="2"/>
  <c r="AO5" i="2"/>
  <c r="Q23" i="2"/>
  <c r="AR5" i="2"/>
  <c r="AY5" i="2"/>
  <c r="AS5" i="2"/>
  <c r="BC5" i="2"/>
  <c r="R23" i="2"/>
  <c r="BF5" i="2"/>
  <c r="BM5" i="2"/>
  <c r="BG5" i="2"/>
  <c r="BQ5" i="2"/>
  <c r="S23" i="2"/>
  <c r="BT5" i="2"/>
  <c r="CA5" i="2"/>
  <c r="BU5" i="2"/>
  <c r="CE5" i="2"/>
  <c r="T23" i="2"/>
  <c r="D6" i="2"/>
  <c r="E6" i="2"/>
  <c r="G6" i="2"/>
  <c r="I6" i="2"/>
  <c r="K6" i="2"/>
  <c r="P6" i="2"/>
  <c r="W6" i="2"/>
  <c r="H6" i="2"/>
  <c r="J6" i="2"/>
  <c r="Q6" i="2"/>
  <c r="AA6" i="2"/>
  <c r="P24" i="2"/>
  <c r="AD6" i="2"/>
  <c r="AK6" i="2"/>
  <c r="AE6" i="2"/>
  <c r="AO6" i="2"/>
  <c r="Q24" i="2"/>
  <c r="AR6" i="2"/>
  <c r="AY6" i="2"/>
  <c r="AS6" i="2"/>
  <c r="BC6" i="2"/>
  <c r="R24" i="2"/>
  <c r="BF6" i="2"/>
  <c r="BM6" i="2"/>
  <c r="BG6" i="2"/>
  <c r="BQ6" i="2"/>
  <c r="S24" i="2"/>
  <c r="BT6" i="2"/>
  <c r="CA6" i="2"/>
  <c r="BU6" i="2"/>
  <c r="CE6" i="2"/>
  <c r="T24" i="2"/>
  <c r="P7" i="2"/>
  <c r="AA7" i="2"/>
  <c r="P25" i="2"/>
  <c r="AD7" i="2"/>
  <c r="AO7" i="2"/>
  <c r="Q25" i="2"/>
  <c r="AR7" i="2"/>
  <c r="BC7" i="2"/>
  <c r="R25" i="2"/>
  <c r="BF7" i="2"/>
  <c r="BQ7" i="2"/>
  <c r="S25" i="2"/>
  <c r="BT7" i="2"/>
  <c r="CE7" i="2"/>
  <c r="T25" i="2"/>
  <c r="P8" i="2"/>
  <c r="AA8" i="2"/>
  <c r="P26" i="2"/>
  <c r="AD8" i="2"/>
  <c r="AO8" i="2"/>
  <c r="Q26" i="2"/>
  <c r="AR8" i="2"/>
  <c r="BC8" i="2"/>
  <c r="R26" i="2"/>
  <c r="BF8" i="2"/>
  <c r="BQ8" i="2"/>
  <c r="S26" i="2"/>
  <c r="BT8" i="2"/>
  <c r="CE8" i="2"/>
  <c r="T26" i="2"/>
  <c r="B11" i="2"/>
  <c r="H11" i="2"/>
  <c r="J11" i="2"/>
  <c r="D11" i="2"/>
  <c r="I11" i="2"/>
  <c r="K11" i="2" a="1"/>
  <c r="K11" i="2"/>
  <c r="P11" i="2"/>
  <c r="W11" i="2"/>
  <c r="Q11" i="2"/>
  <c r="AA11" i="2"/>
  <c r="P28" i="2"/>
  <c r="AD11" i="2"/>
  <c r="AK11" i="2"/>
  <c r="AE11" i="2"/>
  <c r="AO11" i="2"/>
  <c r="Q28" i="2"/>
  <c r="AR11" i="2"/>
  <c r="AY11" i="2"/>
  <c r="AS11" i="2"/>
  <c r="BC11" i="2"/>
  <c r="R28" i="2"/>
  <c r="BF11" i="2"/>
  <c r="BM11" i="2"/>
  <c r="BG11" i="2"/>
  <c r="BQ11" i="2"/>
  <c r="S28" i="2"/>
  <c r="BT11" i="2"/>
  <c r="CA11" i="2"/>
  <c r="BU11" i="2"/>
  <c r="CE11" i="2"/>
  <c r="T28" i="2"/>
  <c r="B12" i="2"/>
  <c r="H12" i="2"/>
  <c r="J12" i="2"/>
  <c r="D12" i="2"/>
  <c r="I12" i="2"/>
  <c r="K12" i="2" a="1"/>
  <c r="K12" i="2"/>
  <c r="P12" i="2"/>
  <c r="W12" i="2"/>
  <c r="Q12" i="2"/>
  <c r="AA12" i="2"/>
  <c r="P29" i="2"/>
  <c r="AD12" i="2"/>
  <c r="AK12" i="2"/>
  <c r="AE12" i="2"/>
  <c r="AO12" i="2"/>
  <c r="Q29" i="2"/>
  <c r="AR12" i="2"/>
  <c r="AY12" i="2"/>
  <c r="AS12" i="2"/>
  <c r="BC12" i="2"/>
  <c r="R29" i="2"/>
  <c r="BF12" i="2"/>
  <c r="BM12" i="2"/>
  <c r="BG12" i="2"/>
  <c r="BQ12" i="2"/>
  <c r="S29" i="2"/>
  <c r="BT12" i="2"/>
  <c r="CA12" i="2"/>
  <c r="BU12" i="2"/>
  <c r="CE12" i="2"/>
  <c r="T29" i="2"/>
  <c r="B13" i="2"/>
  <c r="H13" i="2"/>
  <c r="J13" i="2"/>
  <c r="D13" i="2"/>
  <c r="I13" i="2"/>
  <c r="K13" i="2" a="1"/>
  <c r="K13" i="2"/>
  <c r="P13" i="2"/>
  <c r="W13" i="2"/>
  <c r="Q13" i="2"/>
  <c r="AA13" i="2"/>
  <c r="P30" i="2"/>
  <c r="AD13" i="2"/>
  <c r="AK13" i="2"/>
  <c r="AE13" i="2"/>
  <c r="AO13" i="2"/>
  <c r="Q30" i="2"/>
  <c r="AR13" i="2"/>
  <c r="AY13" i="2"/>
  <c r="AS13" i="2"/>
  <c r="BC13" i="2"/>
  <c r="R30" i="2"/>
  <c r="BF13" i="2"/>
  <c r="BM13" i="2"/>
  <c r="BG13" i="2"/>
  <c r="BQ13" i="2"/>
  <c r="S30" i="2"/>
  <c r="BT13" i="2"/>
  <c r="CA13" i="2"/>
  <c r="BU13" i="2"/>
  <c r="CE13" i="2"/>
  <c r="T30" i="2"/>
  <c r="B14" i="2"/>
  <c r="H14" i="2"/>
  <c r="J14" i="2"/>
  <c r="D14" i="2"/>
  <c r="I14" i="2"/>
  <c r="K14" i="2" a="1"/>
  <c r="K14" i="2"/>
  <c r="P14" i="2"/>
  <c r="W14" i="2"/>
  <c r="Q14" i="2"/>
  <c r="AA14" i="2"/>
  <c r="P31" i="2"/>
  <c r="AD14" i="2"/>
  <c r="AK14" i="2"/>
  <c r="AE14" i="2"/>
  <c r="AO14" i="2"/>
  <c r="Q31" i="2"/>
  <c r="AR14" i="2"/>
  <c r="AY14" i="2"/>
  <c r="AS14" i="2"/>
  <c r="BC14" i="2"/>
  <c r="R31" i="2"/>
  <c r="BF14" i="2"/>
  <c r="BM14" i="2"/>
  <c r="BG14" i="2"/>
  <c r="BQ14" i="2"/>
  <c r="S31" i="2"/>
  <c r="BT14" i="2"/>
  <c r="CA14" i="2"/>
  <c r="BU14" i="2"/>
  <c r="CE14" i="2"/>
  <c r="T31" i="2"/>
  <c r="B15" i="2"/>
  <c r="H15" i="2"/>
  <c r="J15" i="2"/>
  <c r="D15" i="2"/>
  <c r="I15" i="2"/>
  <c r="K15" i="2" a="1"/>
  <c r="K15" i="2"/>
  <c r="P15" i="2"/>
  <c r="W15" i="2"/>
  <c r="Q15" i="2"/>
  <c r="AA15" i="2"/>
  <c r="P32" i="2"/>
  <c r="AD15" i="2"/>
  <c r="AK15" i="2"/>
  <c r="AE15" i="2"/>
  <c r="AO15" i="2"/>
  <c r="Q32" i="2"/>
  <c r="AR15" i="2"/>
  <c r="AY15" i="2"/>
  <c r="AS15" i="2"/>
  <c r="BC15" i="2"/>
  <c r="R32" i="2"/>
  <c r="BF15" i="2"/>
  <c r="BM15" i="2"/>
  <c r="BG15" i="2"/>
  <c r="BQ15" i="2"/>
  <c r="S32" i="2"/>
  <c r="BT15" i="2"/>
  <c r="CA15" i="2"/>
  <c r="BU15" i="2"/>
  <c r="CE15" i="2"/>
  <c r="T32" i="2"/>
  <c r="B16" i="2"/>
  <c r="H16" i="2"/>
  <c r="J16" i="2"/>
  <c r="D16" i="2"/>
  <c r="I16" i="2"/>
  <c r="K16" i="2" a="1"/>
  <c r="K16" i="2"/>
  <c r="P16" i="2"/>
  <c r="W16" i="2"/>
  <c r="Q16" i="2"/>
  <c r="AA16" i="2"/>
  <c r="P33" i="2"/>
  <c r="AD16" i="2"/>
  <c r="AK16" i="2"/>
  <c r="AE16" i="2"/>
  <c r="AO16" i="2"/>
  <c r="Q33" i="2"/>
  <c r="AR16" i="2"/>
  <c r="AY16" i="2"/>
  <c r="AS16" i="2"/>
  <c r="BC16" i="2"/>
  <c r="R33" i="2"/>
  <c r="BF16" i="2"/>
  <c r="BM16" i="2"/>
  <c r="BG16" i="2"/>
  <c r="BQ16" i="2"/>
  <c r="S33" i="2"/>
  <c r="BT16" i="2"/>
  <c r="CA16" i="2"/>
  <c r="BU16" i="2"/>
  <c r="CE16" i="2"/>
  <c r="T33" i="2"/>
  <c r="T19" i="2"/>
  <c r="D27" i="1"/>
  <c r="Z3" i="2"/>
  <c r="I21" i="2"/>
  <c r="D35" i="1"/>
  <c r="AN3" i="2"/>
  <c r="J21" i="2"/>
  <c r="D31" i="1"/>
  <c r="BB3" i="2"/>
  <c r="K21" i="2"/>
  <c r="BP3" i="2"/>
  <c r="L21" i="2"/>
  <c r="D39" i="1"/>
  <c r="D21" i="1"/>
  <c r="CD3" i="2"/>
  <c r="M21" i="2"/>
  <c r="Z4" i="2"/>
  <c r="I22" i="2"/>
  <c r="AN4" i="2"/>
  <c r="J22" i="2"/>
  <c r="BB4" i="2"/>
  <c r="K22" i="2"/>
  <c r="BP4" i="2"/>
  <c r="L22" i="2"/>
  <c r="CD4" i="2"/>
  <c r="M22" i="2"/>
  <c r="Z5" i="2"/>
  <c r="I23" i="2"/>
  <c r="AN5" i="2"/>
  <c r="J23" i="2"/>
  <c r="BB5" i="2"/>
  <c r="K23" i="2"/>
  <c r="BP5" i="2"/>
  <c r="L23" i="2"/>
  <c r="CD5" i="2"/>
  <c r="M23" i="2"/>
  <c r="Z6" i="2"/>
  <c r="I24" i="2"/>
  <c r="AN6" i="2"/>
  <c r="J24" i="2"/>
  <c r="BB6" i="2"/>
  <c r="K24" i="2"/>
  <c r="BP6" i="2"/>
  <c r="L24" i="2"/>
  <c r="CD6" i="2"/>
  <c r="M24" i="2"/>
  <c r="Z7" i="2"/>
  <c r="I25" i="2"/>
  <c r="AN7" i="2"/>
  <c r="J25" i="2"/>
  <c r="BB7" i="2"/>
  <c r="K25" i="2"/>
  <c r="BP7" i="2"/>
  <c r="L25" i="2"/>
  <c r="CD7" i="2"/>
  <c r="M25" i="2"/>
  <c r="Z8" i="2"/>
  <c r="I26" i="2"/>
  <c r="AN8" i="2"/>
  <c r="J26" i="2"/>
  <c r="BB8" i="2"/>
  <c r="K26" i="2"/>
  <c r="BP8" i="2"/>
  <c r="L26" i="2"/>
  <c r="CD8" i="2"/>
  <c r="M26" i="2"/>
  <c r="Z11" i="2"/>
  <c r="I28" i="2"/>
  <c r="AN11" i="2"/>
  <c r="J28" i="2"/>
  <c r="BB11" i="2"/>
  <c r="K28" i="2"/>
  <c r="BP11" i="2"/>
  <c r="L28" i="2"/>
  <c r="CD11" i="2"/>
  <c r="M28" i="2"/>
  <c r="Z12" i="2"/>
  <c r="I29" i="2"/>
  <c r="AN12" i="2"/>
  <c r="J29" i="2"/>
  <c r="BB12" i="2"/>
  <c r="K29" i="2"/>
  <c r="BP12" i="2"/>
  <c r="L29" i="2"/>
  <c r="CD12" i="2"/>
  <c r="M29" i="2"/>
  <c r="Z13" i="2"/>
  <c r="I30" i="2"/>
  <c r="AN13" i="2"/>
  <c r="J30" i="2"/>
  <c r="BB13" i="2"/>
  <c r="K30" i="2"/>
  <c r="BP13" i="2"/>
  <c r="L30" i="2"/>
  <c r="CD13" i="2"/>
  <c r="M30" i="2"/>
  <c r="Z14" i="2"/>
  <c r="I31" i="2"/>
  <c r="AN14" i="2"/>
  <c r="J31" i="2"/>
  <c r="BB14" i="2"/>
  <c r="K31" i="2"/>
  <c r="BP14" i="2"/>
  <c r="L31" i="2"/>
  <c r="CD14" i="2"/>
  <c r="M31" i="2"/>
  <c r="Z15" i="2"/>
  <c r="I32" i="2"/>
  <c r="AN15" i="2"/>
  <c r="J32" i="2"/>
  <c r="BB15" i="2"/>
  <c r="K32" i="2"/>
  <c r="BP15" i="2"/>
  <c r="L32" i="2"/>
  <c r="CD15" i="2"/>
  <c r="M32" i="2"/>
  <c r="Z16" i="2"/>
  <c r="I33" i="2"/>
  <c r="AN16" i="2"/>
  <c r="J33" i="2"/>
  <c r="BB16" i="2"/>
  <c r="K33" i="2"/>
  <c r="BP16" i="2"/>
  <c r="L33" i="2"/>
  <c r="CD16" i="2"/>
  <c r="M33" i="2"/>
  <c r="M19" i="2"/>
  <c r="U19" i="2"/>
  <c r="N22" i="2"/>
  <c r="U22" i="2"/>
  <c r="N23" i="2"/>
  <c r="U23" i="2"/>
  <c r="N24" i="2"/>
  <c r="U24" i="2"/>
  <c r="N21" i="2"/>
  <c r="U21" i="2"/>
  <c r="N25" i="2"/>
  <c r="N26" i="2"/>
  <c r="AF12" i="2" a="1"/>
  <c r="AF12" i="2"/>
  <c r="AJ12" i="2"/>
  <c r="C29" i="2"/>
  <c r="AT12" i="2" a="1"/>
  <c r="AT12" i="2"/>
  <c r="AX12" i="2"/>
  <c r="D29" i="2"/>
  <c r="BH12" i="2" a="1"/>
  <c r="BH12" i="2"/>
  <c r="BL12" i="2"/>
  <c r="E29" i="2"/>
  <c r="BV12" i="2" a="1"/>
  <c r="BV12" i="2"/>
  <c r="BZ12" i="2"/>
  <c r="F29" i="2"/>
  <c r="AF13" i="2" a="1"/>
  <c r="AF13" i="2"/>
  <c r="AJ13" i="2"/>
  <c r="C30" i="2"/>
  <c r="AT13" i="2" a="1"/>
  <c r="AT13" i="2"/>
  <c r="AX13" i="2"/>
  <c r="D30" i="2"/>
  <c r="BH13" i="2" a="1"/>
  <c r="BH13" i="2"/>
  <c r="BL13" i="2"/>
  <c r="E30" i="2"/>
  <c r="BV13" i="2" a="1"/>
  <c r="BV13" i="2"/>
  <c r="BZ13" i="2"/>
  <c r="F30" i="2"/>
  <c r="AF14" i="2" a="1"/>
  <c r="AF14" i="2"/>
  <c r="AJ14" i="2"/>
  <c r="C31" i="2"/>
  <c r="AT14" i="2" a="1"/>
  <c r="AT14" i="2"/>
  <c r="AX14" i="2"/>
  <c r="D31" i="2"/>
  <c r="BH14" i="2" a="1"/>
  <c r="BH14" i="2"/>
  <c r="BL14" i="2"/>
  <c r="E31" i="2"/>
  <c r="BV14" i="2" a="1"/>
  <c r="BV14" i="2"/>
  <c r="BZ14" i="2"/>
  <c r="F31" i="2"/>
  <c r="AF15" i="2" a="1"/>
  <c r="AF15" i="2"/>
  <c r="AJ15" i="2"/>
  <c r="C32" i="2"/>
  <c r="AT15" i="2" a="1"/>
  <c r="AT15" i="2"/>
  <c r="AX15" i="2"/>
  <c r="D32" i="2"/>
  <c r="BH15" i="2" a="1"/>
  <c r="BH15" i="2"/>
  <c r="BL15" i="2"/>
  <c r="E32" i="2"/>
  <c r="BV15" i="2" a="1"/>
  <c r="BV15" i="2"/>
  <c r="BZ15" i="2"/>
  <c r="F32" i="2"/>
  <c r="AF16" i="2" a="1"/>
  <c r="AF16" i="2"/>
  <c r="AJ16" i="2"/>
  <c r="C33" i="2"/>
  <c r="AT16" i="2" a="1"/>
  <c r="AT16" i="2"/>
  <c r="AX16" i="2"/>
  <c r="D33" i="2"/>
  <c r="BH16" i="2" a="1"/>
  <c r="BH16" i="2"/>
  <c r="BL16" i="2"/>
  <c r="E33" i="2"/>
  <c r="BV16" i="2" a="1"/>
  <c r="BV16" i="2"/>
  <c r="BZ16" i="2"/>
  <c r="F33" i="2"/>
  <c r="BV11" i="2" a="1"/>
  <c r="BV11" i="2"/>
  <c r="BZ11" i="2"/>
  <c r="F28" i="2"/>
  <c r="BH11" i="2" a="1"/>
  <c r="BH11" i="2"/>
  <c r="BL11" i="2"/>
  <c r="E28" i="2"/>
  <c r="AT11" i="2" a="1"/>
  <c r="AT11" i="2"/>
  <c r="AX11" i="2"/>
  <c r="D28" i="2"/>
  <c r="AF11" i="2" a="1"/>
  <c r="AF11" i="2"/>
  <c r="AJ11" i="2"/>
  <c r="C28" i="2"/>
  <c r="R12" i="2" a="1"/>
  <c r="R12" i="2"/>
  <c r="V12" i="2"/>
  <c r="B29" i="2"/>
  <c r="R13" i="2" a="1"/>
  <c r="R13" i="2"/>
  <c r="V13" i="2"/>
  <c r="B30" i="2"/>
  <c r="R14" i="2" a="1"/>
  <c r="R14" i="2"/>
  <c r="V14" i="2"/>
  <c r="B31" i="2"/>
  <c r="R15" i="2" a="1"/>
  <c r="R15" i="2"/>
  <c r="V15" i="2"/>
  <c r="B32" i="2"/>
  <c r="R16" i="2" a="1"/>
  <c r="R16" i="2"/>
  <c r="V16" i="2"/>
  <c r="B33" i="2"/>
  <c r="R11" i="2" a="1"/>
  <c r="R11" i="2"/>
  <c r="V11" i="2"/>
  <c r="B28" i="2"/>
  <c r="BZ17" i="2"/>
  <c r="B39" i="1"/>
  <c r="G21" i="1"/>
  <c r="BY12" i="2"/>
  <c r="BY13" i="2"/>
  <c r="BY14" i="2"/>
  <c r="BY15" i="2"/>
  <c r="BY16" i="2"/>
  <c r="BY11" i="2"/>
  <c r="BL17" i="2"/>
  <c r="E31" i="1"/>
  <c r="BK12" i="2"/>
  <c r="BK13" i="2"/>
  <c r="BK14" i="2"/>
  <c r="BK15" i="2"/>
  <c r="BK16" i="2"/>
  <c r="BK11" i="2"/>
  <c r="AX17" i="2"/>
  <c r="AW12" i="2"/>
  <c r="AW13" i="2"/>
  <c r="AW14" i="2"/>
  <c r="AW15" i="2"/>
  <c r="AW16" i="2"/>
  <c r="AW11" i="2"/>
  <c r="AJ17" i="2"/>
  <c r="E35" i="1"/>
  <c r="AI12" i="2"/>
  <c r="AI13" i="2"/>
  <c r="AI14" i="2"/>
  <c r="AI15" i="2"/>
  <c r="AI16" i="2"/>
  <c r="AI11" i="2"/>
  <c r="BW11" i="2"/>
  <c r="BX11" i="2"/>
  <c r="BW12" i="2"/>
  <c r="BX12" i="2"/>
  <c r="BW13" i="2"/>
  <c r="BX13" i="2"/>
  <c r="BW14" i="2"/>
  <c r="BX14" i="2"/>
  <c r="BX17" i="2"/>
  <c r="BW16" i="2"/>
  <c r="BX16" i="2"/>
  <c r="BW15" i="2"/>
  <c r="BX15" i="2"/>
  <c r="BI11" i="2"/>
  <c r="BJ11" i="2"/>
  <c r="BI12" i="2"/>
  <c r="BJ12" i="2"/>
  <c r="BI13" i="2"/>
  <c r="BJ13" i="2"/>
  <c r="BI14" i="2"/>
  <c r="BJ14" i="2"/>
  <c r="BJ17" i="2"/>
  <c r="BI16" i="2"/>
  <c r="BJ16" i="2"/>
  <c r="BI15" i="2"/>
  <c r="BJ15" i="2"/>
  <c r="AU11" i="2"/>
  <c r="AV11" i="2"/>
  <c r="AU12" i="2"/>
  <c r="AV12" i="2"/>
  <c r="AU13" i="2"/>
  <c r="AV13" i="2"/>
  <c r="AU14" i="2"/>
  <c r="AV14" i="2"/>
  <c r="AV17" i="2"/>
  <c r="AU16" i="2"/>
  <c r="AV16" i="2"/>
  <c r="AU15" i="2"/>
  <c r="AV15" i="2"/>
  <c r="AG11" i="2"/>
  <c r="AH11" i="2"/>
  <c r="AG12" i="2"/>
  <c r="AH12" i="2"/>
  <c r="AG13" i="2"/>
  <c r="AH13" i="2"/>
  <c r="AG14" i="2"/>
  <c r="AH14" i="2"/>
  <c r="AH17" i="2"/>
  <c r="AG16" i="2"/>
  <c r="AH16" i="2"/>
  <c r="AG15" i="2"/>
  <c r="AH15" i="2"/>
  <c r="V17" i="2"/>
  <c r="E27" i="1"/>
  <c r="U12" i="2"/>
  <c r="U13" i="2"/>
  <c r="U14" i="2"/>
  <c r="U15" i="2"/>
  <c r="U16" i="2"/>
  <c r="U11" i="2"/>
  <c r="S11" i="2"/>
  <c r="T11" i="2"/>
  <c r="S12" i="2"/>
  <c r="T12" i="2"/>
  <c r="S13" i="2"/>
  <c r="T13" i="2"/>
  <c r="S14" i="2"/>
  <c r="T14" i="2"/>
  <c r="T17" i="2"/>
  <c r="S15" i="2"/>
  <c r="S16" i="2"/>
  <c r="T15" i="2"/>
  <c r="T16" i="2"/>
  <c r="AK21" i="2"/>
  <c r="AK22" i="2"/>
  <c r="AK23" i="2"/>
  <c r="AK24" i="2"/>
  <c r="AK25" i="2"/>
  <c r="AL31" i="2"/>
  <c r="AK26" i="2"/>
  <c r="AK27" i="2"/>
  <c r="AK28" i="2"/>
  <c r="AK29" i="2"/>
  <c r="AK30" i="2"/>
  <c r="BR4" i="2"/>
  <c r="BS4" i="2"/>
  <c r="E54" i="2"/>
  <c r="CF4" i="2"/>
  <c r="CG4" i="2"/>
  <c r="F54" i="2"/>
  <c r="BR5" i="2"/>
  <c r="BS5" i="2"/>
  <c r="E55" i="2"/>
  <c r="CF5" i="2"/>
  <c r="CG5" i="2"/>
  <c r="F55" i="2"/>
  <c r="BR6" i="2"/>
  <c r="BS6" i="2"/>
  <c r="E56" i="2"/>
  <c r="CF6" i="2"/>
  <c r="CG6" i="2"/>
  <c r="F56" i="2"/>
  <c r="BM7" i="2"/>
  <c r="H7" i="2"/>
  <c r="J7" i="2"/>
  <c r="BG7" i="2"/>
  <c r="BR7" i="2"/>
  <c r="BS7" i="2"/>
  <c r="E57" i="2"/>
  <c r="CA7" i="2"/>
  <c r="BU7" i="2"/>
  <c r="CF7" i="2"/>
  <c r="CG7" i="2"/>
  <c r="F57" i="2"/>
  <c r="BM8" i="2"/>
  <c r="H8" i="2"/>
  <c r="J8" i="2"/>
  <c r="BG8" i="2"/>
  <c r="BR8" i="2"/>
  <c r="BS8" i="2"/>
  <c r="E58" i="2"/>
  <c r="CA8" i="2"/>
  <c r="BU8" i="2"/>
  <c r="CF8" i="2"/>
  <c r="CG8" i="2"/>
  <c r="F58" i="2"/>
  <c r="BR12" i="2"/>
  <c r="BS12" i="2"/>
  <c r="E61" i="2"/>
  <c r="CF12" i="2"/>
  <c r="CG12" i="2"/>
  <c r="F61" i="2"/>
  <c r="BR13" i="2"/>
  <c r="BS13" i="2"/>
  <c r="E62" i="2"/>
  <c r="CF13" i="2"/>
  <c r="CG13" i="2"/>
  <c r="F62" i="2"/>
  <c r="BR14" i="2"/>
  <c r="BS14" i="2"/>
  <c r="E63" i="2"/>
  <c r="CF14" i="2"/>
  <c r="CG14" i="2"/>
  <c r="F63" i="2"/>
  <c r="BR15" i="2"/>
  <c r="BS15" i="2"/>
  <c r="E64" i="2"/>
  <c r="CF15" i="2"/>
  <c r="CG15" i="2"/>
  <c r="F64" i="2"/>
  <c r="BR16" i="2"/>
  <c r="BS16" i="2"/>
  <c r="E65" i="2"/>
  <c r="CF16" i="2"/>
  <c r="CG16" i="2"/>
  <c r="F65" i="2"/>
  <c r="CF11" i="2"/>
  <c r="CG11" i="2"/>
  <c r="F60" i="2"/>
  <c r="BR11" i="2"/>
  <c r="BS11" i="2"/>
  <c r="E60" i="2"/>
  <c r="CF3" i="2"/>
  <c r="CG3" i="2"/>
  <c r="F53" i="2"/>
  <c r="BR3" i="2"/>
  <c r="BS3" i="2"/>
  <c r="E53" i="2"/>
  <c r="BD12" i="2"/>
  <c r="BE12" i="2"/>
  <c r="D61" i="2"/>
  <c r="BD13" i="2"/>
  <c r="BE13" i="2"/>
  <c r="D62" i="2"/>
  <c r="BD14" i="2"/>
  <c r="BE14" i="2"/>
  <c r="D63" i="2"/>
  <c r="BD15" i="2"/>
  <c r="BE15" i="2"/>
  <c r="D64" i="2"/>
  <c r="BD16" i="2"/>
  <c r="BE16" i="2"/>
  <c r="D65" i="2"/>
  <c r="BD11" i="2"/>
  <c r="BE11" i="2"/>
  <c r="D60" i="2"/>
  <c r="BD4" i="2"/>
  <c r="BE4" i="2"/>
  <c r="D54" i="2"/>
  <c r="BD5" i="2"/>
  <c r="BE5" i="2"/>
  <c r="D55" i="2"/>
  <c r="BD6" i="2"/>
  <c r="BE6" i="2"/>
  <c r="D56" i="2"/>
  <c r="AY7" i="2"/>
  <c r="AS7" i="2"/>
  <c r="BD7" i="2"/>
  <c r="BE7" i="2"/>
  <c r="D57" i="2"/>
  <c r="AY8" i="2"/>
  <c r="AS8" i="2"/>
  <c r="BD8" i="2"/>
  <c r="BE8" i="2"/>
  <c r="D58" i="2"/>
  <c r="BD3" i="2"/>
  <c r="BE3" i="2"/>
  <c r="D53" i="2"/>
  <c r="AP4" i="2"/>
  <c r="AQ4" i="2"/>
  <c r="C54" i="2"/>
  <c r="AP5" i="2"/>
  <c r="AQ5" i="2"/>
  <c r="C55" i="2"/>
  <c r="AP6" i="2"/>
  <c r="AQ6" i="2"/>
  <c r="C56" i="2"/>
  <c r="AK7" i="2"/>
  <c r="AE7" i="2"/>
  <c r="AP7" i="2"/>
  <c r="AQ7" i="2"/>
  <c r="C57" i="2"/>
  <c r="AK8" i="2"/>
  <c r="AE8" i="2"/>
  <c r="AP8" i="2"/>
  <c r="AQ8" i="2"/>
  <c r="C58" i="2"/>
  <c r="AP12" i="2"/>
  <c r="AQ12" i="2"/>
  <c r="C61" i="2"/>
  <c r="AP13" i="2"/>
  <c r="AQ13" i="2"/>
  <c r="C62" i="2"/>
  <c r="AP14" i="2"/>
  <c r="AQ14" i="2"/>
  <c r="C63" i="2"/>
  <c r="AP15" i="2"/>
  <c r="AQ15" i="2"/>
  <c r="C64" i="2"/>
  <c r="AP16" i="2"/>
  <c r="AQ16" i="2"/>
  <c r="C65" i="2"/>
  <c r="AP11" i="2"/>
  <c r="AQ11" i="2"/>
  <c r="C60" i="2"/>
  <c r="AP3" i="2"/>
  <c r="AQ3" i="2"/>
  <c r="C53" i="2"/>
  <c r="AB12" i="2"/>
  <c r="AC12" i="2"/>
  <c r="B61" i="2"/>
  <c r="AB13" i="2"/>
  <c r="AC13" i="2"/>
  <c r="B62" i="2"/>
  <c r="AB14" i="2"/>
  <c r="AC14" i="2"/>
  <c r="B63" i="2"/>
  <c r="AB15" i="2"/>
  <c r="AC15" i="2"/>
  <c r="B64" i="2"/>
  <c r="AB16" i="2"/>
  <c r="AC16" i="2"/>
  <c r="B65" i="2"/>
  <c r="AB11" i="2"/>
  <c r="AC11" i="2"/>
  <c r="B60" i="2"/>
  <c r="AB4" i="2"/>
  <c r="AC4" i="2"/>
  <c r="B54" i="2"/>
  <c r="AB5" i="2"/>
  <c r="AC5" i="2"/>
  <c r="B55" i="2"/>
  <c r="AB6" i="2"/>
  <c r="AC6" i="2"/>
  <c r="B56" i="2"/>
  <c r="W7" i="2"/>
  <c r="Q7" i="2"/>
  <c r="AB7" i="2"/>
  <c r="AC7" i="2"/>
  <c r="B57" i="2"/>
  <c r="W8" i="2"/>
  <c r="Q8" i="2"/>
  <c r="AB8" i="2"/>
  <c r="AC8" i="2"/>
  <c r="B58" i="2"/>
  <c r="AB3" i="2"/>
  <c r="AC3" i="2"/>
  <c r="B53" i="2"/>
  <c r="F51" i="2"/>
  <c r="CC12" i="2"/>
  <c r="T45" i="2"/>
  <c r="CC13" i="2"/>
  <c r="T46" i="2"/>
  <c r="CC14" i="2"/>
  <c r="T47" i="2"/>
  <c r="CC15" i="2"/>
  <c r="T48" i="2"/>
  <c r="CC16" i="2"/>
  <c r="T49" i="2"/>
  <c r="CC11" i="2"/>
  <c r="T44" i="2"/>
  <c r="CG17" i="2"/>
  <c r="CF17" i="2"/>
  <c r="CE17" i="2"/>
  <c r="CD17" i="2"/>
  <c r="CC17" i="2"/>
  <c r="CB12" i="2"/>
  <c r="CB13" i="2"/>
  <c r="CB14" i="2"/>
  <c r="CB15" i="2"/>
  <c r="CB16" i="2"/>
  <c r="CB11" i="2"/>
  <c r="M45" i="2"/>
  <c r="M46" i="2"/>
  <c r="M47" i="2"/>
  <c r="M48" i="2"/>
  <c r="M49" i="2"/>
  <c r="M44" i="2"/>
  <c r="F45" i="2"/>
  <c r="F46" i="2"/>
  <c r="F47" i="2"/>
  <c r="F48" i="2"/>
  <c r="F49" i="2"/>
  <c r="F44" i="2"/>
  <c r="BU17" i="2"/>
  <c r="BO12" i="2"/>
  <c r="S45" i="2"/>
  <c r="BO13" i="2"/>
  <c r="S46" i="2"/>
  <c r="BO14" i="2"/>
  <c r="S47" i="2"/>
  <c r="BO15" i="2"/>
  <c r="S48" i="2"/>
  <c r="BO16" i="2"/>
  <c r="S49" i="2"/>
  <c r="BO11" i="2"/>
  <c r="S44" i="2"/>
  <c r="BS17" i="2"/>
  <c r="BR17" i="2"/>
  <c r="BQ17" i="2"/>
  <c r="BP17" i="2"/>
  <c r="BO17" i="2"/>
  <c r="BN12" i="2"/>
  <c r="BN13" i="2"/>
  <c r="BN14" i="2"/>
  <c r="BN15" i="2"/>
  <c r="BN16" i="2"/>
  <c r="BN11" i="2"/>
  <c r="E45" i="2"/>
  <c r="E46" i="2"/>
  <c r="E47" i="2"/>
  <c r="E48" i="2"/>
  <c r="E49" i="2"/>
  <c r="L45" i="2"/>
  <c r="L46" i="2"/>
  <c r="L47" i="2"/>
  <c r="L48" i="2"/>
  <c r="L49" i="2"/>
  <c r="L44" i="2"/>
  <c r="E44" i="2"/>
  <c r="BG17" i="2"/>
  <c r="BA12" i="2"/>
  <c r="R45" i="2"/>
  <c r="BA13" i="2"/>
  <c r="R46" i="2"/>
  <c r="BA14" i="2"/>
  <c r="R47" i="2"/>
  <c r="BA15" i="2"/>
  <c r="R48" i="2"/>
  <c r="BA16" i="2"/>
  <c r="R49" i="2"/>
  <c r="BA11" i="2"/>
  <c r="R44" i="2"/>
  <c r="D45" i="2"/>
  <c r="D46" i="2"/>
  <c r="D47" i="2"/>
  <c r="D48" i="2"/>
  <c r="D49" i="2"/>
  <c r="K45" i="2"/>
  <c r="K46" i="2"/>
  <c r="K47" i="2"/>
  <c r="K48" i="2"/>
  <c r="K49" i="2"/>
  <c r="K44" i="2"/>
  <c r="D44" i="2"/>
  <c r="BE17" i="2"/>
  <c r="BD17" i="2"/>
  <c r="BC17" i="2"/>
  <c r="BB17" i="2"/>
  <c r="BA17" i="2"/>
  <c r="AZ12" i="2"/>
  <c r="AZ13" i="2"/>
  <c r="AZ14" i="2"/>
  <c r="AZ15" i="2"/>
  <c r="AZ16" i="2"/>
  <c r="AZ11" i="2"/>
  <c r="AS17" i="2"/>
  <c r="AM12" i="2"/>
  <c r="Q45" i="2"/>
  <c r="AM13" i="2"/>
  <c r="Q46" i="2"/>
  <c r="AM14" i="2"/>
  <c r="Q47" i="2"/>
  <c r="AM15" i="2"/>
  <c r="Q48" i="2"/>
  <c r="AM16" i="2"/>
  <c r="Q49" i="2"/>
  <c r="AM11" i="2"/>
  <c r="Q44" i="2"/>
  <c r="Y12" i="2"/>
  <c r="P45" i="2"/>
  <c r="Y13" i="2"/>
  <c r="P46" i="2"/>
  <c r="Y14" i="2"/>
  <c r="P47" i="2"/>
  <c r="Y15" i="2"/>
  <c r="P48" i="2"/>
  <c r="Y16" i="2"/>
  <c r="P49" i="2"/>
  <c r="Y11" i="2"/>
  <c r="P44" i="2"/>
  <c r="AQ17" i="2"/>
  <c r="AP17" i="2"/>
  <c r="AO17" i="2"/>
  <c r="AN17" i="2"/>
  <c r="AM17" i="2"/>
  <c r="AL12" i="2"/>
  <c r="AL13" i="2"/>
  <c r="AL14" i="2"/>
  <c r="AL15" i="2"/>
  <c r="AL16" i="2"/>
  <c r="AL11" i="2"/>
  <c r="J45" i="2"/>
  <c r="J46" i="2"/>
  <c r="J47" i="2"/>
  <c r="J48" i="2"/>
  <c r="J49" i="2"/>
  <c r="J44" i="2"/>
  <c r="C45" i="2"/>
  <c r="C46" i="2"/>
  <c r="C47" i="2"/>
  <c r="C48" i="2"/>
  <c r="C49" i="2"/>
  <c r="C44" i="2"/>
  <c r="AE17" i="2"/>
  <c r="AC17" i="2"/>
  <c r="AB17" i="2"/>
  <c r="AA17" i="2"/>
  <c r="Z17" i="2"/>
  <c r="Y17" i="2"/>
  <c r="X12" i="2"/>
  <c r="X13" i="2"/>
  <c r="X14" i="2"/>
  <c r="X15" i="2"/>
  <c r="X16" i="2"/>
  <c r="X11" i="2"/>
  <c r="I45" i="2"/>
  <c r="I46" i="2"/>
  <c r="I47" i="2"/>
  <c r="I48" i="2"/>
  <c r="I49" i="2"/>
  <c r="I44" i="2"/>
  <c r="B45" i="2"/>
  <c r="B46" i="2"/>
  <c r="B47" i="2"/>
  <c r="B48" i="2"/>
  <c r="B49" i="2"/>
  <c r="B44" i="2"/>
  <c r="L37" i="2"/>
  <c r="L38" i="2"/>
  <c r="L39" i="2"/>
  <c r="L40" i="2"/>
  <c r="J37" i="2"/>
  <c r="J38" i="2"/>
  <c r="J39" i="2"/>
  <c r="J40" i="2"/>
  <c r="K37" i="2"/>
  <c r="K38" i="2"/>
  <c r="K39" i="2"/>
  <c r="K40" i="2"/>
  <c r="M37" i="2"/>
  <c r="M38" i="2"/>
  <c r="M39" i="2"/>
  <c r="M40" i="2"/>
  <c r="I37" i="2"/>
  <c r="I38" i="2"/>
  <c r="I39" i="2"/>
  <c r="I40" i="2"/>
  <c r="I41" i="2"/>
  <c r="J41" i="2"/>
  <c r="K41" i="2"/>
  <c r="L41" i="2"/>
  <c r="M41" i="2"/>
  <c r="I42" i="2"/>
  <c r="J42" i="2"/>
  <c r="K42" i="2"/>
  <c r="L42" i="2"/>
  <c r="M42" i="2"/>
  <c r="M35" i="2"/>
  <c r="BA3" i="2"/>
  <c r="R37" i="2"/>
  <c r="BO3" i="2"/>
  <c r="S37" i="2"/>
  <c r="BO4" i="2"/>
  <c r="S38" i="2"/>
  <c r="BO5" i="2"/>
  <c r="S39" i="2"/>
  <c r="BO6" i="2"/>
  <c r="S40" i="2"/>
  <c r="AM3" i="2"/>
  <c r="Q37" i="2"/>
  <c r="AM4" i="2"/>
  <c r="Q38" i="2"/>
  <c r="AM5" i="2"/>
  <c r="Q39" i="2"/>
  <c r="AM6" i="2"/>
  <c r="Q40" i="2"/>
  <c r="BA4" i="2"/>
  <c r="R38" i="2"/>
  <c r="BA5" i="2"/>
  <c r="R39" i="2"/>
  <c r="BA6" i="2"/>
  <c r="R40" i="2"/>
  <c r="CC3" i="2"/>
  <c r="T37" i="2"/>
  <c r="CC4" i="2"/>
  <c r="T38" i="2"/>
  <c r="CC5" i="2"/>
  <c r="T39" i="2"/>
  <c r="CC6" i="2"/>
  <c r="T40" i="2"/>
  <c r="Y3" i="2"/>
  <c r="P37" i="2"/>
  <c r="Y4" i="2"/>
  <c r="P38" i="2"/>
  <c r="Y5" i="2"/>
  <c r="P39" i="2"/>
  <c r="Y6" i="2"/>
  <c r="P40" i="2"/>
  <c r="Y7" i="2"/>
  <c r="P41" i="2"/>
  <c r="AM7" i="2"/>
  <c r="Q41" i="2"/>
  <c r="BA7" i="2"/>
  <c r="R41" i="2"/>
  <c r="BO7" i="2"/>
  <c r="S41" i="2"/>
  <c r="CC7" i="2"/>
  <c r="T41" i="2"/>
  <c r="Y8" i="2"/>
  <c r="P42" i="2"/>
  <c r="AM8" i="2"/>
  <c r="Q42" i="2"/>
  <c r="BA8" i="2"/>
  <c r="R42" i="2"/>
  <c r="BO8" i="2"/>
  <c r="S42" i="2"/>
  <c r="CC8" i="2"/>
  <c r="T42" i="2"/>
  <c r="T35" i="2"/>
  <c r="Q17" i="2"/>
  <c r="L11" i="2"/>
  <c r="L12" i="2"/>
  <c r="L13" i="2"/>
  <c r="L14" i="2"/>
  <c r="L15" i="2"/>
  <c r="L16" i="2"/>
  <c r="L17" i="2"/>
  <c r="L3" i="2"/>
  <c r="L4" i="2"/>
  <c r="L5" i="2"/>
  <c r="L6" i="2"/>
  <c r="L7" i="2"/>
  <c r="L8" i="2"/>
  <c r="L9" i="2"/>
  <c r="N12" i="2"/>
  <c r="N13" i="2"/>
  <c r="N14" i="2"/>
  <c r="N15" i="2"/>
  <c r="N16" i="2"/>
  <c r="N11" i="2"/>
  <c r="AH22" i="2"/>
  <c r="AI22" i="2"/>
  <c r="AH23" i="2"/>
  <c r="AI23" i="2"/>
  <c r="AH24" i="2"/>
  <c r="AI24" i="2"/>
  <c r="AH25" i="2"/>
  <c r="AI25" i="2"/>
  <c r="AI26" i="2"/>
  <c r="AI27" i="2"/>
  <c r="AI28" i="2"/>
  <c r="AI29" i="2"/>
  <c r="AI30" i="2"/>
  <c r="AH21" i="2"/>
  <c r="AI21" i="2"/>
  <c r="AH26" i="2"/>
  <c r="AH27" i="2"/>
  <c r="AH28" i="2"/>
  <c r="AH29" i="2"/>
  <c r="AH30" i="2"/>
  <c r="AI31" i="2"/>
  <c r="CB4" i="2"/>
  <c r="CB5" i="2"/>
  <c r="CB6" i="2"/>
  <c r="CB7" i="2"/>
  <c r="CB8" i="2"/>
  <c r="CB3" i="2"/>
  <c r="BY4" i="2"/>
  <c r="BV4" i="2" a="1"/>
  <c r="BV4" i="2"/>
  <c r="BZ4" i="2"/>
  <c r="BY5" i="2"/>
  <c r="BV5" i="2" a="1"/>
  <c r="BV5" i="2"/>
  <c r="BZ5" i="2"/>
  <c r="BY6" i="2"/>
  <c r="BV6" i="2" a="1"/>
  <c r="BV6" i="2"/>
  <c r="BZ6" i="2"/>
  <c r="BY7" i="2"/>
  <c r="BZ7" i="2"/>
  <c r="BY8" i="2"/>
  <c r="BZ8" i="2"/>
  <c r="BV3" i="2" a="1"/>
  <c r="BV3" i="2"/>
  <c r="BZ3" i="2"/>
  <c r="BY3" i="2"/>
  <c r="BN4" i="2"/>
  <c r="BN5" i="2"/>
  <c r="BN6" i="2"/>
  <c r="BN7" i="2"/>
  <c r="BN8" i="2"/>
  <c r="BN3" i="2"/>
  <c r="BH4" i="2" a="1"/>
  <c r="BH4" i="2"/>
  <c r="BL4" i="2"/>
  <c r="BH5" i="2" a="1"/>
  <c r="BH5" i="2"/>
  <c r="BL5" i="2"/>
  <c r="BH6" i="2" a="1"/>
  <c r="BH6" i="2"/>
  <c r="BL6" i="2"/>
  <c r="BL7" i="2"/>
  <c r="BL8" i="2"/>
  <c r="BH3" i="2" a="1"/>
  <c r="BH3" i="2"/>
  <c r="BL3" i="2"/>
  <c r="BK4" i="2"/>
  <c r="BK5" i="2"/>
  <c r="BK6" i="2"/>
  <c r="BK7" i="2"/>
  <c r="BK8" i="2"/>
  <c r="BK3" i="2"/>
  <c r="AZ4" i="2"/>
  <c r="AZ5" i="2"/>
  <c r="AZ6" i="2"/>
  <c r="AZ7" i="2"/>
  <c r="AZ8" i="2"/>
  <c r="AZ3" i="2"/>
  <c r="AT4" i="2" a="1"/>
  <c r="AT4" i="2"/>
  <c r="AX4" i="2"/>
  <c r="AT5" i="2" a="1"/>
  <c r="AT5" i="2"/>
  <c r="AX5" i="2"/>
  <c r="AT6" i="2" a="1"/>
  <c r="AT6" i="2"/>
  <c r="AX6" i="2"/>
  <c r="AX7" i="2"/>
  <c r="AX8" i="2"/>
  <c r="AT3" i="2" a="1"/>
  <c r="AT3" i="2"/>
  <c r="AX3" i="2"/>
  <c r="AW8" i="2"/>
  <c r="AW7" i="2"/>
  <c r="AW6" i="2"/>
  <c r="AW5" i="2"/>
  <c r="AW4" i="2"/>
  <c r="AW3" i="2"/>
  <c r="AG19" i="2"/>
  <c r="N17" i="2"/>
  <c r="M12" i="2"/>
  <c r="O12" i="2"/>
  <c r="M13" i="2"/>
  <c r="O13" i="2"/>
  <c r="M14" i="2"/>
  <c r="O14" i="2"/>
  <c r="M15" i="2"/>
  <c r="O15" i="2"/>
  <c r="M16" i="2"/>
  <c r="O16" i="2"/>
  <c r="M11" i="2"/>
  <c r="O11" i="2"/>
  <c r="AD21" i="2"/>
  <c r="AL4" i="2"/>
  <c r="AL5" i="2"/>
  <c r="AL6" i="2"/>
  <c r="AL7" i="2"/>
  <c r="AL8" i="2"/>
  <c r="AL3" i="2"/>
  <c r="C12" i="2"/>
  <c r="F12" i="2"/>
  <c r="E12" i="2"/>
  <c r="G12" i="2"/>
  <c r="C13" i="2"/>
  <c r="F13" i="2"/>
  <c r="E13" i="2"/>
  <c r="G13" i="2"/>
  <c r="C14" i="2"/>
  <c r="F14" i="2"/>
  <c r="E14" i="2"/>
  <c r="G14" i="2"/>
  <c r="C15" i="2"/>
  <c r="F15" i="2"/>
  <c r="E15" i="2"/>
  <c r="G15" i="2"/>
  <c r="C16" i="2"/>
  <c r="F16" i="2"/>
  <c r="E16" i="2"/>
  <c r="G16" i="2"/>
  <c r="C11" i="2"/>
  <c r="F11" i="2"/>
  <c r="E11" i="2"/>
  <c r="G11" i="2"/>
  <c r="B3" i="2"/>
  <c r="AJ8" i="2"/>
  <c r="AJ7" i="2"/>
  <c r="AF6" i="2" a="1"/>
  <c r="AF6" i="2"/>
  <c r="AJ6" i="2"/>
  <c r="AF5" i="2" a="1"/>
  <c r="AF5" i="2"/>
  <c r="AJ5" i="2"/>
  <c r="AF4" i="2" a="1"/>
  <c r="AF4" i="2"/>
  <c r="AJ4" i="2"/>
  <c r="AF3" i="2" a="1"/>
  <c r="AF3" i="2"/>
  <c r="AJ3" i="2"/>
  <c r="AI4" i="2"/>
  <c r="AI5" i="2"/>
  <c r="AI6" i="2"/>
  <c r="AI7" i="2"/>
  <c r="AI8" i="2"/>
  <c r="AI3" i="2"/>
  <c r="X4" i="2"/>
  <c r="X5" i="2"/>
  <c r="X6" i="2"/>
  <c r="X7" i="2"/>
  <c r="X8" i="2"/>
  <c r="X3" i="2"/>
  <c r="R4" i="2" a="1"/>
  <c r="R4" i="2"/>
  <c r="V4" i="2"/>
  <c r="R5" i="2" a="1"/>
  <c r="R5" i="2"/>
  <c r="V5" i="2"/>
  <c r="R6" i="2" a="1"/>
  <c r="R6" i="2"/>
  <c r="V6" i="2"/>
  <c r="V7" i="2"/>
  <c r="V8" i="2"/>
  <c r="R3" i="2" a="1"/>
  <c r="R3" i="2"/>
  <c r="V3" i="2"/>
  <c r="U4" i="2"/>
  <c r="U5" i="2"/>
  <c r="U6" i="2"/>
  <c r="U7" i="2"/>
  <c r="U8" i="2"/>
  <c r="U3" i="2"/>
  <c r="B21" i="2"/>
  <c r="C21" i="2"/>
  <c r="D21" i="2"/>
  <c r="E21" i="2"/>
  <c r="F21" i="2"/>
  <c r="B22" i="2"/>
  <c r="C22" i="2"/>
  <c r="D22" i="2"/>
  <c r="E22" i="2"/>
  <c r="F22" i="2"/>
  <c r="B23" i="2"/>
  <c r="C23" i="2"/>
  <c r="D23" i="2"/>
  <c r="E23" i="2"/>
  <c r="F23" i="2"/>
  <c r="B24" i="2"/>
  <c r="C24" i="2"/>
  <c r="D24" i="2"/>
  <c r="E24" i="2"/>
  <c r="F24" i="2"/>
  <c r="B38" i="2"/>
  <c r="C38" i="2"/>
  <c r="D38" i="2"/>
  <c r="E38" i="2"/>
  <c r="F38" i="2"/>
  <c r="B39" i="2"/>
  <c r="C39" i="2"/>
  <c r="D39" i="2"/>
  <c r="E39" i="2"/>
  <c r="F39" i="2"/>
  <c r="B40" i="2"/>
  <c r="C40" i="2"/>
  <c r="D40" i="2"/>
  <c r="E40" i="2"/>
  <c r="F40" i="2"/>
  <c r="B41" i="2"/>
  <c r="C41" i="2"/>
  <c r="D41" i="2"/>
  <c r="E41" i="2"/>
  <c r="F41" i="2"/>
  <c r="B42" i="2"/>
  <c r="C42" i="2"/>
  <c r="D42" i="2"/>
  <c r="E42" i="2"/>
  <c r="F42" i="2"/>
  <c r="F37" i="2"/>
  <c r="E37" i="2"/>
  <c r="D37" i="2"/>
  <c r="C37" i="2"/>
  <c r="B37" i="2"/>
  <c r="AC22" i="2"/>
  <c r="AC23" i="2"/>
  <c r="AC24" i="2"/>
  <c r="AC25" i="2"/>
  <c r="AC26" i="2"/>
  <c r="AC27" i="2"/>
  <c r="AC28" i="2"/>
  <c r="AC29" i="2"/>
  <c r="AC30" i="2"/>
  <c r="BH8" i="2" a="1"/>
  <c r="BH8" i="2"/>
  <c r="E26" i="2"/>
  <c r="BH7" i="2" a="1"/>
  <c r="BH7" i="2"/>
  <c r="E25" i="2"/>
  <c r="BV7" i="2" a="1"/>
  <c r="BV7" i="2"/>
  <c r="F25" i="2"/>
  <c r="BV8" i="2" a="1"/>
  <c r="BV8" i="2"/>
  <c r="F26" i="2"/>
  <c r="AT7" i="2" a="1"/>
  <c r="AT7" i="2"/>
  <c r="D25" i="2"/>
  <c r="AT8" i="2" a="1"/>
  <c r="AT8" i="2"/>
  <c r="D26" i="2"/>
  <c r="AF7" i="2" a="1"/>
  <c r="AF7" i="2"/>
  <c r="C25" i="2"/>
  <c r="AF8" i="2" a="1"/>
  <c r="AF8" i="2"/>
  <c r="C26" i="2"/>
  <c r="R7" i="2" a="1"/>
  <c r="R7" i="2"/>
  <c r="B25" i="2"/>
  <c r="R8" i="2" a="1"/>
  <c r="R8" i="2"/>
  <c r="B26" i="2"/>
  <c r="CG9" i="2"/>
  <c r="CF9" i="2"/>
  <c r="CE9" i="2"/>
  <c r="CD9" i="2"/>
  <c r="CC9" i="2"/>
  <c r="BZ9" i="2"/>
  <c r="BW3" i="2"/>
  <c r="BX3" i="2"/>
  <c r="BW4" i="2"/>
  <c r="BX4" i="2"/>
  <c r="BW5" i="2"/>
  <c r="BX5" i="2"/>
  <c r="BW6" i="2"/>
  <c r="BX6" i="2"/>
  <c r="BX9" i="2"/>
  <c r="BU9" i="2"/>
  <c r="BW8" i="2"/>
  <c r="BX8" i="2"/>
  <c r="BW7" i="2"/>
  <c r="BX7" i="2"/>
  <c r="D19" i="1"/>
  <c r="G19" i="1"/>
  <c r="D20" i="1"/>
  <c r="G20" i="1"/>
  <c r="D22" i="1"/>
  <c r="G22" i="1"/>
  <c r="D23" i="1"/>
  <c r="G23" i="1"/>
  <c r="D24" i="1"/>
  <c r="G24" i="1"/>
  <c r="D25" i="1"/>
  <c r="G25" i="1"/>
  <c r="D26" i="1"/>
  <c r="G26" i="1"/>
  <c r="G27" i="1"/>
  <c r="D28" i="1"/>
  <c r="G28" i="1"/>
  <c r="D29" i="1"/>
  <c r="G29" i="1"/>
  <c r="D30" i="1"/>
  <c r="G30" i="1"/>
  <c r="G31" i="1"/>
  <c r="D32" i="1"/>
  <c r="G32" i="1"/>
  <c r="D33" i="1"/>
  <c r="G33" i="1"/>
  <c r="D34" i="1"/>
  <c r="G34" i="1"/>
  <c r="G35" i="1"/>
  <c r="F35" i="1"/>
  <c r="F34" i="1"/>
  <c r="E34" i="1"/>
  <c r="F33" i="1"/>
  <c r="E33" i="1"/>
  <c r="F32" i="1"/>
  <c r="E32" i="1"/>
  <c r="F31" i="1"/>
  <c r="F30" i="1"/>
  <c r="E30" i="1"/>
  <c r="F29" i="1"/>
  <c r="E29" i="1"/>
  <c r="F28" i="1"/>
  <c r="E28" i="1"/>
  <c r="F27" i="1"/>
  <c r="F26" i="1"/>
  <c r="E26" i="1"/>
  <c r="F25" i="1"/>
  <c r="E25" i="1"/>
  <c r="F24" i="1"/>
  <c r="E24" i="1"/>
  <c r="F23" i="1"/>
  <c r="E23" i="1"/>
  <c r="F22" i="1"/>
  <c r="E22" i="1"/>
  <c r="F21" i="1"/>
  <c r="E21" i="1"/>
  <c r="F20" i="1"/>
  <c r="E20" i="1"/>
  <c r="F19" i="1"/>
  <c r="E19" i="1"/>
  <c r="BI3" i="2"/>
  <c r="BJ3" i="2"/>
  <c r="BS9" i="2"/>
  <c r="BR9" i="2"/>
  <c r="BQ9" i="2"/>
  <c r="BP9" i="2"/>
  <c r="BO9" i="2"/>
  <c r="BL9" i="2"/>
  <c r="BI4" i="2"/>
  <c r="BJ4" i="2"/>
  <c r="BI5" i="2"/>
  <c r="BJ5" i="2"/>
  <c r="BI6" i="2"/>
  <c r="BJ6" i="2"/>
  <c r="BJ9" i="2"/>
  <c r="BG9" i="2"/>
  <c r="BI8" i="2"/>
  <c r="BJ8" i="2"/>
  <c r="BI7" i="2"/>
  <c r="BJ7" i="2"/>
  <c r="BE9" i="2"/>
  <c r="BD9" i="2"/>
  <c r="BC9" i="2"/>
  <c r="BB9" i="2"/>
  <c r="BA9" i="2"/>
  <c r="AX9" i="2"/>
  <c r="AU3" i="2"/>
  <c r="AV3" i="2"/>
  <c r="AU4" i="2"/>
  <c r="AV4" i="2"/>
  <c r="AU5" i="2"/>
  <c r="AV5" i="2"/>
  <c r="AU6" i="2"/>
  <c r="AV6" i="2"/>
  <c r="AV9" i="2"/>
  <c r="AS9" i="2"/>
  <c r="AU8" i="2"/>
  <c r="AV8" i="2"/>
  <c r="AU7" i="2"/>
  <c r="AV7" i="2"/>
  <c r="AG4" i="2"/>
  <c r="AH4" i="2"/>
  <c r="AG5" i="2"/>
  <c r="AH5" i="2"/>
  <c r="AG6" i="2"/>
  <c r="AH6" i="2"/>
  <c r="AG7" i="2"/>
  <c r="AH7" i="2"/>
  <c r="AG8" i="2"/>
  <c r="AH8" i="2"/>
  <c r="AG3" i="2"/>
  <c r="S4" i="2"/>
  <c r="S5" i="2"/>
  <c r="S6" i="2"/>
  <c r="S7" i="2"/>
  <c r="S8" i="2"/>
  <c r="S3" i="2"/>
  <c r="AQ9" i="2"/>
  <c r="AP9" i="2"/>
  <c r="AO9" i="2"/>
  <c r="AN9" i="2"/>
  <c r="AM9" i="2"/>
  <c r="AJ9" i="2"/>
  <c r="AH3" i="2"/>
  <c r="AH9" i="2"/>
  <c r="AE9" i="2"/>
  <c r="T3" i="2"/>
  <c r="T4" i="2"/>
  <c r="T5" i="2"/>
  <c r="T6" i="2"/>
  <c r="T9" i="2"/>
  <c r="V9" i="2"/>
  <c r="AA9" i="2"/>
  <c r="Y9" i="2"/>
  <c r="Z9" i="2"/>
  <c r="AC9" i="2"/>
  <c r="T7" i="2"/>
  <c r="T8" i="2"/>
  <c r="AD22" i="2"/>
  <c r="AD23" i="2"/>
  <c r="AD24" i="2"/>
  <c r="AD25" i="2"/>
  <c r="AD26" i="2"/>
  <c r="AD27" i="2"/>
  <c r="AD28" i="2"/>
  <c r="AD29" i="2"/>
  <c r="AD30" i="2"/>
  <c r="AC31" i="2"/>
  <c r="AD31" i="2"/>
  <c r="AC32" i="2"/>
  <c r="AD32" i="2"/>
  <c r="AD33" i="2"/>
  <c r="AD34" i="2"/>
  <c r="AD35" i="2"/>
  <c r="AE33" i="2"/>
  <c r="AC33" i="2"/>
  <c r="AC34" i="2"/>
  <c r="AC35" i="2"/>
  <c r="D7" i="2"/>
  <c r="E7" i="2"/>
  <c r="G7" i="2"/>
  <c r="I7" i="2"/>
  <c r="D8" i="2"/>
  <c r="E8" i="2"/>
  <c r="G8" i="2"/>
  <c r="I8" i="2"/>
  <c r="AB9" i="2"/>
  <c r="Q9" i="2"/>
  <c r="B4" i="2"/>
  <c r="N4" i="2"/>
  <c r="M4" i="2"/>
  <c r="O4" i="2"/>
  <c r="M5" i="2"/>
  <c r="B5" i="2"/>
  <c r="N5" i="2"/>
  <c r="O5" i="2"/>
  <c r="M6" i="2"/>
  <c r="B6" i="2"/>
  <c r="N6" i="2"/>
  <c r="O6" i="2"/>
  <c r="M7" i="2"/>
  <c r="O7" i="2"/>
  <c r="M8" i="2"/>
  <c r="O8" i="2"/>
  <c r="N3" i="2"/>
  <c r="M3" i="2"/>
  <c r="O3" i="2"/>
  <c r="B7" i="2"/>
  <c r="N7" i="2"/>
  <c r="B8" i="2"/>
  <c r="N8" i="2"/>
  <c r="N9" i="2"/>
  <c r="M17" i="2"/>
  <c r="M9" i="2"/>
  <c r="C4" i="2"/>
  <c r="F4" i="2"/>
  <c r="C5" i="2"/>
  <c r="F5" i="2"/>
  <c r="C6" i="2"/>
  <c r="F6" i="2"/>
  <c r="C7" i="2"/>
  <c r="F7" i="2"/>
  <c r="C8" i="2"/>
  <c r="F8" i="2"/>
  <c r="C3" i="2"/>
  <c r="F3" i="2"/>
</calcChain>
</file>

<file path=xl/sharedStrings.xml><?xml version="1.0" encoding="utf-8"?>
<sst xmlns="http://schemas.openxmlformats.org/spreadsheetml/2006/main" count="484" uniqueCount="158">
  <si>
    <t>Radius [cm]</t>
  </si>
  <si>
    <t>Barrel</t>
  </si>
  <si>
    <t>½ Length [cm]</t>
  </si>
  <si>
    <t>L0</t>
  </si>
  <si>
    <t>L1</t>
  </si>
  <si>
    <t>L2</t>
  </si>
  <si>
    <t>L3</t>
  </si>
  <si>
    <t>L4</t>
  </si>
  <si>
    <t>L5</t>
  </si>
  <si>
    <t>z [cm]</t>
  </si>
  <si>
    <t>R_min [cm]</t>
  </si>
  <si>
    <t>R_max [cm]</t>
  </si>
  <si>
    <t>Endcap</t>
  </si>
  <si>
    <t>D1</t>
  </si>
  <si>
    <t>D2</t>
  </si>
  <si>
    <t>D3</t>
  </si>
  <si>
    <t>D4</t>
  </si>
  <si>
    <t>D5</t>
  </si>
  <si>
    <t>D6</t>
  </si>
  <si>
    <t>Pixel phi [um]</t>
  </si>
  <si>
    <t>Pixel z [um]</t>
  </si>
  <si>
    <t>Edge phi [mm]</t>
  </si>
  <si>
    <t>EOC phi [mm]</t>
  </si>
  <si>
    <t># Pixel phi/FE</t>
  </si>
  <si>
    <t># Pixel z/FE</t>
  </si>
  <si>
    <t>Module Total phi [mm]</t>
  </si>
  <si>
    <t>Module Edge phi [mm]</t>
  </si>
  <si>
    <t>Module EOC phi [mm]</t>
  </si>
  <si>
    <t>Front End Active phi [mm]</t>
  </si>
  <si>
    <t>Front End Total phi [mm]</t>
  </si>
  <si>
    <t>Front End Active z [mm]</t>
  </si>
  <si>
    <t>phi FEs/Module</t>
  </si>
  <si>
    <t>z FEs/module</t>
  </si>
  <si>
    <t>Front End Total z [mm]</t>
  </si>
  <si>
    <t>Module Total z [mm]</t>
  </si>
  <si>
    <t>Module Effective phi [mm]</t>
  </si>
  <si>
    <t>Module Effective z [mm]</t>
  </si>
  <si>
    <t>phi Overlap [pixel]</t>
  </si>
  <si>
    <t># Staves</t>
  </si>
  <si>
    <t># Modules per ½ stave</t>
  </si>
  <si>
    <t># Modules</t>
  </si>
  <si>
    <t>Ideal Surface [m^2]</t>
  </si>
  <si>
    <t>Realistic Surface [m^2]</t>
  </si>
  <si>
    <t>Overlap [%]</t>
  </si>
  <si>
    <t>Hit rate [GHz/cm^2]</t>
  </si>
  <si>
    <t>Bandwidth / module [Gb/s]</t>
  </si>
  <si>
    <t>z Gap [mm]</t>
  </si>
  <si>
    <t>z FE Gap [mm]</t>
  </si>
  <si>
    <t>phi FE Gap [mm]</t>
  </si>
  <si>
    <t>Trigger Rate [MHz]</t>
  </si>
  <si>
    <t>Bandwidth / GBT [Gb/s]</t>
  </si>
  <si>
    <t>AWG</t>
  </si>
  <si>
    <t>Area [mm^2]</t>
  </si>
  <si>
    <t>PP1 z position [cm]</t>
  </si>
  <si>
    <t>PP1 r position [cm]</t>
  </si>
  <si>
    <t>Type 1 r leg ½ length [cm]</t>
  </si>
  <si>
    <t>Type 1 length [cm]</t>
  </si>
  <si>
    <t>Total Type1 data length [km]</t>
  </si>
  <si>
    <t>Total Type0 data length [m]</t>
  </si>
  <si>
    <t>Type0 data length per ½ stave [cm]</t>
  </si>
  <si>
    <t>Data Modularity</t>
  </si>
  <si>
    <t>Mult</t>
  </si>
  <si>
    <t>HV Modularity</t>
  </si>
  <si>
    <t>LV Modularity</t>
  </si>
  <si>
    <t>DATA Lines</t>
  </si>
  <si>
    <t>Modules and Staves</t>
  </si>
  <si>
    <t>Total Type0 data wire length [m]</t>
  </si>
  <si>
    <t>Total Type1 data wire length [km]</t>
  </si>
  <si>
    <t>DCS Modularity</t>
  </si>
  <si>
    <t>Data Wire Gauge [AWG]</t>
  </si>
  <si>
    <t>CMD&amp;CLK Wire Gauge [AWG]</t>
  </si>
  <si>
    <t>CMD&amp;CLK Modularity</t>
  </si>
  <si>
    <t>HV Wire Gauge [AWG]</t>
  </si>
  <si>
    <t>DCS Wire Gauge [AWG]</t>
  </si>
  <si>
    <t>LV Wire Gauge [AWG]</t>
  </si>
  <si>
    <t>DIMENSIONS</t>
  </si>
  <si>
    <t>PP1</t>
  </si>
  <si>
    <t>TRANSMISSION</t>
  </si>
  <si>
    <t>MODULARITIES</t>
  </si>
  <si>
    <t>WIRE GAUGES</t>
  </si>
  <si>
    <t>Wires</t>
  </si>
  <si>
    <t>Diameter [mm]</t>
  </si>
  <si>
    <t>TPI</t>
  </si>
  <si>
    <t>Spezific resistance [ohms mm^2/m]</t>
  </si>
  <si>
    <t>Cu</t>
  </si>
  <si>
    <t>Al</t>
  </si>
  <si>
    <t>Cu R [ohms/m]</t>
  </si>
  <si>
    <t>Al R [ohms/m]</t>
  </si>
  <si>
    <t>Type1 resistance [ohms]</t>
  </si>
  <si>
    <t>Lockup Value</t>
  </si>
  <si>
    <t>Data Wire Material</t>
  </si>
  <si>
    <t>CMD &amp; CLK</t>
  </si>
  <si>
    <t>CMD &amp; CLK Wire Material</t>
  </si>
  <si>
    <t>DCS Wire Material</t>
  </si>
  <si>
    <t>HV Wire Material</t>
  </si>
  <si>
    <t>Density [g/cm^3]</t>
  </si>
  <si>
    <t>CCA</t>
  </si>
  <si>
    <t>Data Isolator [mm]</t>
  </si>
  <si>
    <t>Type1 Wire Weight [kg]</t>
  </si>
  <si>
    <t>Total # of data links</t>
  </si>
  <si>
    <t>Type1 PP1 Penetration [mm^2]</t>
  </si>
  <si>
    <t>CMD &amp; CLK Isolator [mm]</t>
  </si>
  <si>
    <t>HV Isolator [mm]</t>
  </si>
  <si>
    <t>DCS Isolator [mm]</t>
  </si>
  <si>
    <t>LV Isolator [mm]</t>
  </si>
  <si>
    <t>Type1 Isolator Weight [kg]</t>
  </si>
  <si>
    <t>PI</t>
  </si>
  <si>
    <t>LV Wire Material</t>
  </si>
  <si>
    <t>Type0 max. resistance [ohms]</t>
  </si>
  <si>
    <t>Type0 Wire Weight [g]</t>
  </si>
  <si>
    <t>Ti</t>
  </si>
  <si>
    <t>CMD &amp; CLK Lines</t>
  </si>
  <si>
    <t>HV Lines</t>
  </si>
  <si>
    <t># HV links per ½ stave</t>
  </si>
  <si>
    <t>DCS Lines</t>
  </si>
  <si>
    <t>&lt;-Select 10% or 15%</t>
  </si>
  <si>
    <t>N/A</t>
  </si>
  <si>
    <t>CCA R [ohms/m]</t>
  </si>
  <si>
    <t>LV Lines</t>
  </si>
  <si>
    <t>DATA</t>
  </si>
  <si>
    <t>HV</t>
  </si>
  <si>
    <t>DCS</t>
  </si>
  <si>
    <t>LV</t>
  </si>
  <si>
    <t># data links per ½ stave</t>
  </si>
  <si>
    <t># Total Links</t>
  </si>
  <si>
    <t># Pixel R/FE</t>
  </si>
  <si>
    <t>Pixel R [um]</t>
  </si>
  <si>
    <t>Module Edge R [mm]</t>
  </si>
  <si>
    <t>Module EOC R [mm]</t>
  </si>
  <si>
    <t>Edge z [mm]</t>
  </si>
  <si>
    <t>EOC z [mm]</t>
  </si>
  <si>
    <t>R FEs/Module</t>
  </si>
  <si>
    <t>phi FEs/module</t>
  </si>
  <si>
    <t>Front End Active R [mm]</t>
  </si>
  <si>
    <t>Front End Total R [mm]</t>
  </si>
  <si>
    <t>Module Total R [mm]</t>
  </si>
  <si>
    <t>Module Effective R [mm]</t>
  </si>
  <si>
    <t>R FE Gap [mm]</t>
  </si>
  <si>
    <t># Rings</t>
  </si>
  <si>
    <t>TYPE0 LENGTH CROSSCHECK</t>
  </si>
  <si>
    <t># Modules per disk</t>
  </si>
  <si>
    <t>phi non-Overlap gap [mm]</t>
  </si>
  <si>
    <t># data links per disk</t>
  </si>
  <si>
    <t># Links per ½ stave or disk</t>
  </si>
  <si>
    <t># CMD &amp; CLK links per ½ stave</t>
  </si>
  <si>
    <t># CMD &amp; CLK links per disk</t>
  </si>
  <si>
    <t>Total # of CMD &amp; CLK links</t>
  </si>
  <si>
    <t>Total # of HV links</t>
  </si>
  <si>
    <t>Total # of DCS links</t>
  </si>
  <si>
    <t># DCS links per ½ stave</t>
  </si>
  <si>
    <t>Total # of LV links</t>
  </si>
  <si>
    <t># LV links per ½ stave</t>
  </si>
  <si>
    <t># HV links per disk</t>
  </si>
  <si>
    <t># DCS links per disk</t>
  </si>
  <si>
    <t># LV links per disk</t>
  </si>
  <si>
    <t>Wire length [km]</t>
  </si>
  <si>
    <t>Type0 data length per disk [cm]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</si>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</sst>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8" x14ac:knownFonts="1">
    <font>
      <sz val="12"/>
      <color theme="1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6500"/>
      <name val="Calibri"/>
      <family val="2"/>
      <scheme val="minor"/>
    </font>
    <font>
      <sz val="12"/>
      <color rgb="FFFF000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0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  <bgColor rgb="FF000000"/>
      </patternFill>
    </fill>
    <fill>
      <patternFill patternType="solid">
        <fgColor rgb="FFCC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371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86">
    <xf numFmtId="0" fontId="0" fillId="0" borderId="0" xfId="0"/>
    <xf numFmtId="0" fontId="1" fillId="2" borderId="0" xfId="1"/>
    <xf numFmtId="0" fontId="0" fillId="0" borderId="0" xfId="0" applyAlignment="1">
      <alignment wrapText="1"/>
    </xf>
    <xf numFmtId="0" fontId="3" fillId="4" borderId="0" xfId="3"/>
    <xf numFmtId="0" fontId="2" fillId="3" borderId="0" xfId="2"/>
    <xf numFmtId="0" fontId="0" fillId="0" borderId="0" xfId="0" applyBorder="1" applyAlignment="1">
      <alignment wrapText="1"/>
    </xf>
    <xf numFmtId="0" fontId="0" fillId="0" borderId="1" xfId="0" applyBorder="1" applyAlignment="1">
      <alignment wrapText="1"/>
    </xf>
    <xf numFmtId="0" fontId="3" fillId="4" borderId="0" xfId="3" applyBorder="1"/>
    <xf numFmtId="0" fontId="3" fillId="4" borderId="1" xfId="3" applyBorder="1"/>
    <xf numFmtId="0" fontId="0" fillId="0" borderId="0" xfId="0" applyBorder="1"/>
    <xf numFmtId="0" fontId="2" fillId="3" borderId="0" xfId="2" applyBorder="1"/>
    <xf numFmtId="0" fontId="2" fillId="3" borderId="1" xfId="2" applyBorder="1"/>
    <xf numFmtId="0" fontId="0" fillId="0" borderId="1" xfId="0" applyBorder="1"/>
    <xf numFmtId="0" fontId="0" fillId="0" borderId="2" xfId="0" applyBorder="1" applyAlignment="1">
      <alignment wrapText="1"/>
    </xf>
    <xf numFmtId="0" fontId="3" fillId="4" borderId="2" xfId="3" applyBorder="1"/>
    <xf numFmtId="0" fontId="0" fillId="0" borderId="2" xfId="0" applyBorder="1"/>
    <xf numFmtId="0" fontId="0" fillId="0" borderId="4" xfId="0" applyBorder="1"/>
    <xf numFmtId="0" fontId="1" fillId="2" borderId="2" xfId="1" applyBorder="1"/>
    <xf numFmtId="0" fontId="1" fillId="2" borderId="0" xfId="1" applyBorder="1"/>
    <xf numFmtId="0" fontId="1" fillId="2" borderId="1" xfId="1" applyBorder="1"/>
    <xf numFmtId="0" fontId="0" fillId="0" borderId="0" xfId="0" applyFill="1" applyBorder="1" applyAlignment="1">
      <alignment wrapText="1"/>
    </xf>
    <xf numFmtId="0" fontId="2" fillId="3" borderId="2" xfId="2" applyBorder="1"/>
    <xf numFmtId="0" fontId="7" fillId="0" borderId="0" xfId="0" applyFont="1" applyAlignment="1">
      <alignment wrapText="1"/>
    </xf>
    <xf numFmtId="0" fontId="1" fillId="10" borderId="0" xfId="0" applyFont="1" applyFill="1"/>
    <xf numFmtId="9" fontId="1" fillId="2" borderId="0" xfId="1" applyNumberFormat="1" applyBorder="1"/>
    <xf numFmtId="0" fontId="0" fillId="0" borderId="7" xfId="0" applyBorder="1"/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/>
    <xf numFmtId="0" fontId="0" fillId="0" borderId="6" xfId="0" applyBorder="1"/>
    <xf numFmtId="0" fontId="0" fillId="0" borderId="7" xfId="0" applyFill="1" applyBorder="1"/>
    <xf numFmtId="0" fontId="0" fillId="0" borderId="6" xfId="0" applyFill="1" applyBorder="1"/>
    <xf numFmtId="0" fontId="0" fillId="0" borderId="8" xfId="0" applyFill="1" applyBorder="1"/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0" xfId="0" applyFill="1" applyBorder="1"/>
    <xf numFmtId="0" fontId="7" fillId="0" borderId="0" xfId="0" applyFont="1"/>
    <xf numFmtId="0" fontId="0" fillId="5" borderId="0" xfId="0" applyFill="1"/>
    <xf numFmtId="0" fontId="0" fillId="5" borderId="0" xfId="0" applyFill="1" applyAlignment="1">
      <alignment horizontal="center"/>
    </xf>
    <xf numFmtId="0" fontId="4" fillId="5" borderId="0" xfId="4" applyFill="1" applyAlignment="1">
      <alignment horizontal="center"/>
    </xf>
    <xf numFmtId="2" fontId="4" fillId="5" borderId="0" xfId="4" applyNumberFormat="1" applyFill="1" applyAlignment="1">
      <alignment horizontal="center"/>
    </xf>
    <xf numFmtId="0" fontId="0" fillId="0" borderId="9" xfId="0" applyBorder="1"/>
    <xf numFmtId="0" fontId="2" fillId="3" borderId="9" xfId="2" applyBorder="1"/>
    <xf numFmtId="0" fontId="1" fillId="2" borderId="10" xfId="1" applyBorder="1"/>
    <xf numFmtId="0" fontId="1" fillId="2" borderId="9" xfId="1" applyBorder="1"/>
    <xf numFmtId="0" fontId="0" fillId="0" borderId="10" xfId="0" applyBorder="1"/>
    <xf numFmtId="0" fontId="1" fillId="2" borderId="11" xfId="1" applyBorder="1"/>
    <xf numFmtId="0" fontId="1" fillId="10" borderId="10" xfId="0" applyFont="1" applyFill="1" applyBorder="1"/>
    <xf numFmtId="0" fontId="1" fillId="2" borderId="3" xfId="1" applyBorder="1"/>
    <xf numFmtId="0" fontId="1" fillId="2" borderId="4" xfId="1" applyBorder="1"/>
    <xf numFmtId="0" fontId="1" fillId="2" borderId="5" xfId="1" applyBorder="1"/>
    <xf numFmtId="0" fontId="0" fillId="0" borderId="5" xfId="0" applyBorder="1"/>
    <xf numFmtId="0" fontId="2" fillId="3" borderId="4" xfId="2" applyBorder="1"/>
    <xf numFmtId="0" fontId="1" fillId="10" borderId="4" xfId="0" applyFont="1" applyFill="1" applyBorder="1"/>
    <xf numFmtId="164" fontId="0" fillId="0" borderId="0" xfId="0" applyNumberFormat="1"/>
    <xf numFmtId="2" fontId="0" fillId="0" borderId="0" xfId="0" applyNumberFormat="1"/>
    <xf numFmtId="165" fontId="0" fillId="0" borderId="0" xfId="0" applyNumberFormat="1"/>
    <xf numFmtId="164" fontId="0" fillId="0" borderId="0" xfId="0" applyNumberFormat="1" applyBorder="1"/>
    <xf numFmtId="2" fontId="0" fillId="0" borderId="0" xfId="0" applyNumberFormat="1" applyBorder="1"/>
    <xf numFmtId="0" fontId="0" fillId="6" borderId="6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0" fillId="9" borderId="6" xfId="0" applyFill="1" applyBorder="1" applyAlignment="1">
      <alignment horizontal="center"/>
    </xf>
    <xf numFmtId="0" fontId="0" fillId="9" borderId="7" xfId="0" applyFill="1" applyBorder="1" applyAlignment="1">
      <alignment horizontal="center"/>
    </xf>
    <xf numFmtId="0" fontId="0" fillId="9" borderId="8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0" fillId="7" borderId="5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13" borderId="3" xfId="0" applyFill="1" applyBorder="1" applyAlignment="1">
      <alignment horizontal="center"/>
    </xf>
    <xf numFmtId="0" fontId="0" fillId="13" borderId="4" xfId="0" applyFill="1" applyBorder="1" applyAlignment="1">
      <alignment horizontal="center"/>
    </xf>
    <xf numFmtId="0" fontId="0" fillId="13" borderId="5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11" borderId="3" xfId="0" applyFill="1" applyBorder="1" applyAlignment="1">
      <alignment horizontal="center"/>
    </xf>
    <xf numFmtId="0" fontId="0" fillId="11" borderId="4" xfId="0" applyFill="1" applyBorder="1" applyAlignment="1">
      <alignment horizontal="center"/>
    </xf>
    <xf numFmtId="0" fontId="0" fillId="11" borderId="5" xfId="0" applyFill="1" applyBorder="1" applyAlignment="1">
      <alignment horizontal="center"/>
    </xf>
    <xf numFmtId="0" fontId="0" fillId="12" borderId="3" xfId="0" applyFill="1" applyBorder="1" applyAlignment="1">
      <alignment horizontal="center"/>
    </xf>
    <xf numFmtId="0" fontId="0" fillId="12" borderId="4" xfId="0" applyFill="1" applyBorder="1" applyAlignment="1">
      <alignment horizontal="center"/>
    </xf>
    <xf numFmtId="0" fontId="0" fillId="12" borderId="5" xfId="0" applyFill="1" applyBorder="1" applyAlignment="1">
      <alignment horizontal="center"/>
    </xf>
    <xf numFmtId="0" fontId="0" fillId="8" borderId="5" xfId="0" applyFill="1" applyBorder="1" applyAlignment="1">
      <alignment horizontal="center"/>
    </xf>
  </cellXfs>
  <cellStyles count="371">
    <cellStyle name="Bad" xfId="2" builtinId="27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Good" xfId="1" builtinId="26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Neutral" xfId="3" builtinId="28"/>
    <cellStyle name="Normal" xfId="0" builtinId="0"/>
    <cellStyle name="Warning Text" xfId="4" builtinId="11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43"/>
  <sheetViews>
    <sheetView tabSelected="1" topLeftCell="J1" workbookViewId="0">
      <selection activeCell="E40" sqref="E40"/>
    </sheetView>
  </sheetViews>
  <sheetFormatPr defaultColWidth="11" defaultRowHeight="15.75" x14ac:dyDescent="0.25"/>
  <cols>
    <col min="1" max="1" width="8.625" customWidth="1"/>
    <col min="2" max="2" width="10" style="15" customWidth="1"/>
    <col min="3" max="4" width="9.5" style="9" customWidth="1"/>
    <col min="5" max="5" width="9.625" style="9" customWidth="1"/>
    <col min="6" max="6" width="10.875" style="9" customWidth="1"/>
    <col min="7" max="8" width="10" style="9" customWidth="1"/>
    <col min="9" max="9" width="12.375" style="9" customWidth="1"/>
    <col min="10" max="10" width="14.625" style="9" customWidth="1"/>
    <col min="11" max="12" width="10" style="9" customWidth="1"/>
    <col min="13" max="17" width="10.875" style="9"/>
    <col min="18" max="18" width="10.875" style="12"/>
    <col min="23" max="23" width="10.875" style="15"/>
    <col min="26" max="26" width="10.875" style="15"/>
    <col min="27" max="29" width="10.875" style="9"/>
    <col min="30" max="30" width="10.875" style="12"/>
    <col min="32" max="32" width="8.375" customWidth="1"/>
    <col min="33" max="33" width="10" customWidth="1"/>
    <col min="41" max="44" width="9.125" customWidth="1"/>
    <col min="45" max="45" width="10.875" style="12"/>
  </cols>
  <sheetData>
    <row r="1" spans="1:45" s="16" customFormat="1" x14ac:dyDescent="0.25">
      <c r="B1" s="65" t="s">
        <v>75</v>
      </c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7"/>
      <c r="S1" s="70" t="s">
        <v>77</v>
      </c>
      <c r="T1" s="71"/>
      <c r="U1" s="71"/>
      <c r="V1" s="71"/>
      <c r="W1" s="68" t="s">
        <v>76</v>
      </c>
      <c r="X1" s="68"/>
      <c r="Y1" s="69"/>
      <c r="Z1" s="59" t="s">
        <v>78</v>
      </c>
      <c r="AA1" s="60"/>
      <c r="AB1" s="60"/>
      <c r="AC1" s="60"/>
      <c r="AD1" s="61"/>
      <c r="AE1" s="62" t="s">
        <v>79</v>
      </c>
      <c r="AF1" s="63"/>
      <c r="AG1" s="63"/>
      <c r="AH1" s="63"/>
      <c r="AI1" s="63"/>
      <c r="AJ1" s="63"/>
      <c r="AK1" s="63"/>
      <c r="AL1" s="63"/>
      <c r="AM1" s="63"/>
      <c r="AN1" s="63"/>
      <c r="AO1" s="63"/>
      <c r="AP1" s="63"/>
      <c r="AQ1" s="63"/>
      <c r="AR1" s="63"/>
      <c r="AS1" s="64"/>
    </row>
    <row r="2" spans="1:45" ht="51.95" customHeight="1" x14ac:dyDescent="0.25">
      <c r="A2" t="s">
        <v>1</v>
      </c>
      <c r="B2" s="13" t="s">
        <v>0</v>
      </c>
      <c r="C2" s="5" t="s">
        <v>2</v>
      </c>
      <c r="D2" s="27"/>
      <c r="E2" s="5" t="s">
        <v>23</v>
      </c>
      <c r="F2" s="5" t="s">
        <v>19</v>
      </c>
      <c r="G2" s="5" t="s">
        <v>26</v>
      </c>
      <c r="H2" s="5" t="s">
        <v>27</v>
      </c>
      <c r="I2" s="5" t="s">
        <v>24</v>
      </c>
      <c r="J2" s="5" t="s">
        <v>20</v>
      </c>
      <c r="K2" s="5" t="s">
        <v>129</v>
      </c>
      <c r="L2" s="5" t="s">
        <v>130</v>
      </c>
      <c r="M2" s="5" t="s">
        <v>31</v>
      </c>
      <c r="N2" s="5" t="s">
        <v>32</v>
      </c>
      <c r="O2" s="5" t="s">
        <v>48</v>
      </c>
      <c r="P2" s="5" t="s">
        <v>47</v>
      </c>
      <c r="Q2" s="5" t="s">
        <v>37</v>
      </c>
      <c r="R2" s="6" t="s">
        <v>46</v>
      </c>
      <c r="S2" s="2" t="s">
        <v>44</v>
      </c>
      <c r="T2" s="2" t="s">
        <v>49</v>
      </c>
      <c r="U2" s="2" t="s">
        <v>45</v>
      </c>
      <c r="V2" s="2" t="s">
        <v>50</v>
      </c>
      <c r="W2" s="13" t="s">
        <v>53</v>
      </c>
      <c r="X2" s="2" t="s">
        <v>54</v>
      </c>
      <c r="Y2" s="2" t="s">
        <v>55</v>
      </c>
      <c r="Z2" s="13" t="s">
        <v>60</v>
      </c>
      <c r="AA2" s="5" t="s">
        <v>71</v>
      </c>
      <c r="AB2" s="5" t="s">
        <v>62</v>
      </c>
      <c r="AC2" s="5" t="s">
        <v>68</v>
      </c>
      <c r="AD2" s="6" t="s">
        <v>63</v>
      </c>
      <c r="AE2" s="13" t="s">
        <v>69</v>
      </c>
      <c r="AF2" s="5" t="s">
        <v>90</v>
      </c>
      <c r="AG2" s="5" t="s">
        <v>97</v>
      </c>
      <c r="AH2" s="5" t="s">
        <v>70</v>
      </c>
      <c r="AI2" s="5" t="s">
        <v>92</v>
      </c>
      <c r="AJ2" s="5" t="s">
        <v>101</v>
      </c>
      <c r="AK2" s="5" t="s">
        <v>72</v>
      </c>
      <c r="AL2" s="5" t="s">
        <v>94</v>
      </c>
      <c r="AM2" s="22" t="s">
        <v>102</v>
      </c>
      <c r="AN2" s="5" t="s">
        <v>73</v>
      </c>
      <c r="AO2" s="5" t="s">
        <v>93</v>
      </c>
      <c r="AP2" s="22" t="s">
        <v>103</v>
      </c>
      <c r="AQ2" s="22" t="s">
        <v>74</v>
      </c>
      <c r="AR2" s="22" t="s">
        <v>107</v>
      </c>
      <c r="AS2" s="6" t="s">
        <v>104</v>
      </c>
    </row>
    <row r="3" spans="1:45" x14ac:dyDescent="0.25">
      <c r="A3" s="45" t="s">
        <v>3</v>
      </c>
      <c r="B3" s="44">
        <v>3.9</v>
      </c>
      <c r="C3" s="43">
        <v>45.65</v>
      </c>
      <c r="D3"/>
      <c r="E3" s="43">
        <v>336</v>
      </c>
      <c r="F3" s="43">
        <v>50</v>
      </c>
      <c r="G3" s="43">
        <v>0.1</v>
      </c>
      <c r="H3" s="43">
        <v>1.8</v>
      </c>
      <c r="I3" s="43">
        <v>400</v>
      </c>
      <c r="J3" s="43">
        <v>50</v>
      </c>
      <c r="K3" s="43">
        <v>0.1</v>
      </c>
      <c r="L3" s="43">
        <v>0</v>
      </c>
      <c r="M3" s="43">
        <v>1</v>
      </c>
      <c r="N3" s="43">
        <v>2</v>
      </c>
      <c r="O3" s="43">
        <v>0.1</v>
      </c>
      <c r="P3" s="43">
        <v>0.1</v>
      </c>
      <c r="Q3" s="43">
        <v>8</v>
      </c>
      <c r="R3" s="46">
        <v>0.2</v>
      </c>
      <c r="S3" s="43">
        <v>2</v>
      </c>
      <c r="T3" s="43">
        <v>1</v>
      </c>
      <c r="U3" s="43">
        <v>5.12</v>
      </c>
      <c r="V3" s="43">
        <v>5.12</v>
      </c>
      <c r="W3" s="44">
        <v>325</v>
      </c>
      <c r="X3" s="43">
        <v>50</v>
      </c>
      <c r="Y3" s="43">
        <v>5</v>
      </c>
      <c r="Z3" s="44">
        <v>1</v>
      </c>
      <c r="AA3" s="43">
        <v>12</v>
      </c>
      <c r="AB3" s="43">
        <v>12</v>
      </c>
      <c r="AC3" s="43">
        <v>12</v>
      </c>
      <c r="AD3" s="46">
        <v>12</v>
      </c>
      <c r="AE3" s="43">
        <v>28</v>
      </c>
      <c r="AF3" s="43" t="s">
        <v>84</v>
      </c>
      <c r="AG3" s="43">
        <v>0.05</v>
      </c>
      <c r="AH3" s="43">
        <v>36</v>
      </c>
      <c r="AI3" s="43" t="s">
        <v>84</v>
      </c>
      <c r="AJ3" s="43">
        <v>0.05</v>
      </c>
      <c r="AK3" s="43">
        <v>32</v>
      </c>
      <c r="AL3" s="43" t="s">
        <v>84</v>
      </c>
      <c r="AM3" s="47">
        <v>0.1</v>
      </c>
      <c r="AN3" s="43">
        <v>32</v>
      </c>
      <c r="AO3" s="43" t="s">
        <v>84</v>
      </c>
      <c r="AP3" s="43">
        <v>0.05</v>
      </c>
      <c r="AQ3" s="43">
        <v>22</v>
      </c>
      <c r="AR3" s="43" t="s">
        <v>96</v>
      </c>
      <c r="AS3" s="46">
        <v>0.05</v>
      </c>
    </row>
    <row r="4" spans="1:45" x14ac:dyDescent="0.25">
      <c r="A4" t="s">
        <v>4</v>
      </c>
      <c r="B4" s="17">
        <v>7.5</v>
      </c>
      <c r="C4" s="18">
        <v>74.7</v>
      </c>
      <c r="D4"/>
      <c r="E4" s="18">
        <v>336</v>
      </c>
      <c r="F4" s="18">
        <v>50</v>
      </c>
      <c r="G4" s="18">
        <v>0.1</v>
      </c>
      <c r="H4" s="18">
        <v>1.8</v>
      </c>
      <c r="I4" s="18">
        <v>400</v>
      </c>
      <c r="J4" s="18">
        <v>50</v>
      </c>
      <c r="K4" s="18">
        <v>0.1</v>
      </c>
      <c r="L4" s="18">
        <v>0</v>
      </c>
      <c r="M4" s="18">
        <v>2</v>
      </c>
      <c r="N4" s="18">
        <v>2</v>
      </c>
      <c r="O4" s="18">
        <v>0.1</v>
      </c>
      <c r="P4" s="18">
        <v>0.1</v>
      </c>
      <c r="Q4" s="18">
        <v>8</v>
      </c>
      <c r="R4" s="19">
        <v>0.2</v>
      </c>
      <c r="S4" s="4">
        <v>1</v>
      </c>
      <c r="T4" s="1">
        <v>1</v>
      </c>
      <c r="U4" s="1">
        <v>5.12</v>
      </c>
      <c r="V4" s="1">
        <v>5.12</v>
      </c>
      <c r="W4" s="17">
        <v>325</v>
      </c>
      <c r="X4" s="1">
        <v>50</v>
      </c>
      <c r="Y4" s="1">
        <v>5</v>
      </c>
      <c r="Z4" s="17">
        <v>1</v>
      </c>
      <c r="AA4" s="18">
        <v>19</v>
      </c>
      <c r="AB4" s="18">
        <v>19</v>
      </c>
      <c r="AC4" s="18">
        <v>19</v>
      </c>
      <c r="AD4" s="19">
        <v>19</v>
      </c>
      <c r="AE4" s="1">
        <v>28</v>
      </c>
      <c r="AF4" s="1" t="s">
        <v>84</v>
      </c>
      <c r="AG4" s="1">
        <v>0.05</v>
      </c>
      <c r="AH4" s="18">
        <v>36</v>
      </c>
      <c r="AI4" s="1" t="s">
        <v>84</v>
      </c>
      <c r="AJ4" s="1">
        <v>0.05</v>
      </c>
      <c r="AK4" s="18">
        <v>32</v>
      </c>
      <c r="AL4" s="1" t="s">
        <v>84</v>
      </c>
      <c r="AM4" s="23">
        <v>0.1</v>
      </c>
      <c r="AN4" s="18">
        <v>32</v>
      </c>
      <c r="AO4" s="1" t="s">
        <v>84</v>
      </c>
      <c r="AP4" s="1">
        <v>0.05</v>
      </c>
      <c r="AQ4" s="1">
        <v>22</v>
      </c>
      <c r="AR4" s="1" t="s">
        <v>96</v>
      </c>
      <c r="AS4" s="19">
        <v>0.05</v>
      </c>
    </row>
    <row r="5" spans="1:45" x14ac:dyDescent="0.25">
      <c r="A5" t="s">
        <v>5</v>
      </c>
      <c r="B5" s="17">
        <v>16</v>
      </c>
      <c r="C5" s="18">
        <v>72.28</v>
      </c>
      <c r="D5"/>
      <c r="E5" s="18">
        <v>336</v>
      </c>
      <c r="F5" s="18">
        <v>50</v>
      </c>
      <c r="G5" s="18">
        <v>0.1</v>
      </c>
      <c r="H5" s="18">
        <v>1.8</v>
      </c>
      <c r="I5" s="18">
        <v>400</v>
      </c>
      <c r="J5" s="18">
        <v>50</v>
      </c>
      <c r="K5" s="18">
        <v>0.1</v>
      </c>
      <c r="L5" s="18">
        <v>0</v>
      </c>
      <c r="M5" s="18">
        <v>2</v>
      </c>
      <c r="N5" s="18">
        <v>2</v>
      </c>
      <c r="O5" s="18">
        <v>0.1</v>
      </c>
      <c r="P5" s="18">
        <v>0.1</v>
      </c>
      <c r="Q5" s="18">
        <v>8</v>
      </c>
      <c r="R5" s="19">
        <v>0.2</v>
      </c>
      <c r="S5" s="4">
        <v>0.5</v>
      </c>
      <c r="T5" s="1">
        <v>1</v>
      </c>
      <c r="U5" s="1">
        <v>2.56</v>
      </c>
      <c r="V5" s="1">
        <v>5.12</v>
      </c>
      <c r="W5" s="17">
        <v>325</v>
      </c>
      <c r="X5" s="1">
        <v>50</v>
      </c>
      <c r="Y5" s="1">
        <v>5</v>
      </c>
      <c r="Z5" s="17">
        <v>2</v>
      </c>
      <c r="AA5" s="18">
        <v>18</v>
      </c>
      <c r="AB5" s="18">
        <v>18</v>
      </c>
      <c r="AC5" s="18">
        <v>18</v>
      </c>
      <c r="AD5" s="19">
        <v>18</v>
      </c>
      <c r="AE5" s="1">
        <v>28</v>
      </c>
      <c r="AF5" s="1" t="s">
        <v>84</v>
      </c>
      <c r="AG5" s="1">
        <v>0.05</v>
      </c>
      <c r="AH5" s="18">
        <v>36</v>
      </c>
      <c r="AI5" s="1" t="s">
        <v>84</v>
      </c>
      <c r="AJ5" s="1">
        <v>0.05</v>
      </c>
      <c r="AK5" s="18">
        <v>32</v>
      </c>
      <c r="AL5" s="1" t="s">
        <v>84</v>
      </c>
      <c r="AM5" s="23">
        <v>0.1</v>
      </c>
      <c r="AN5" s="18">
        <v>32</v>
      </c>
      <c r="AO5" s="1" t="s">
        <v>84</v>
      </c>
      <c r="AP5" s="1">
        <v>0.05</v>
      </c>
      <c r="AQ5" s="1">
        <v>22</v>
      </c>
      <c r="AR5" s="1" t="s">
        <v>96</v>
      </c>
      <c r="AS5" s="19">
        <v>0.05</v>
      </c>
    </row>
    <row r="6" spans="1:45" x14ac:dyDescent="0.25">
      <c r="A6" t="s">
        <v>6</v>
      </c>
      <c r="B6" s="17">
        <v>25</v>
      </c>
      <c r="C6" s="18">
        <v>72.28</v>
      </c>
      <c r="D6"/>
      <c r="E6" s="18">
        <v>336</v>
      </c>
      <c r="F6" s="18">
        <v>50</v>
      </c>
      <c r="G6" s="18">
        <v>0.1</v>
      </c>
      <c r="H6" s="18">
        <v>1.8</v>
      </c>
      <c r="I6" s="18">
        <v>400</v>
      </c>
      <c r="J6" s="18">
        <v>50</v>
      </c>
      <c r="K6" s="18">
        <v>0.1</v>
      </c>
      <c r="L6" s="18">
        <v>0</v>
      </c>
      <c r="M6" s="18">
        <v>2</v>
      </c>
      <c r="N6" s="18">
        <v>2</v>
      </c>
      <c r="O6" s="18">
        <v>0.1</v>
      </c>
      <c r="P6" s="18">
        <v>0.1</v>
      </c>
      <c r="Q6" s="18">
        <v>8</v>
      </c>
      <c r="R6" s="19">
        <v>0.2</v>
      </c>
      <c r="S6" s="4">
        <v>0.25</v>
      </c>
      <c r="T6" s="1">
        <v>1</v>
      </c>
      <c r="U6" s="1">
        <v>1.28</v>
      </c>
      <c r="V6" s="1">
        <v>5.12</v>
      </c>
      <c r="W6" s="17">
        <v>325</v>
      </c>
      <c r="X6" s="1">
        <v>50</v>
      </c>
      <c r="Y6" s="1">
        <v>5</v>
      </c>
      <c r="Z6" s="17">
        <v>4</v>
      </c>
      <c r="AA6" s="18">
        <v>18</v>
      </c>
      <c r="AB6" s="18">
        <v>18</v>
      </c>
      <c r="AC6" s="18">
        <v>18</v>
      </c>
      <c r="AD6" s="19">
        <v>18</v>
      </c>
      <c r="AE6" s="1">
        <v>28</v>
      </c>
      <c r="AF6" s="1" t="s">
        <v>84</v>
      </c>
      <c r="AG6" s="1">
        <v>0.05</v>
      </c>
      <c r="AH6" s="18">
        <v>36</v>
      </c>
      <c r="AI6" s="1" t="s">
        <v>84</v>
      </c>
      <c r="AJ6" s="1">
        <v>0.05</v>
      </c>
      <c r="AK6" s="18">
        <v>32</v>
      </c>
      <c r="AL6" s="1" t="s">
        <v>84</v>
      </c>
      <c r="AM6" s="23">
        <v>0.1</v>
      </c>
      <c r="AN6" s="18">
        <v>32</v>
      </c>
      <c r="AO6" s="1" t="s">
        <v>84</v>
      </c>
      <c r="AP6" s="1">
        <v>0.05</v>
      </c>
      <c r="AQ6" s="1">
        <v>22</v>
      </c>
      <c r="AR6" s="1" t="s">
        <v>96</v>
      </c>
      <c r="AS6" s="19">
        <v>0.05</v>
      </c>
    </row>
    <row r="7" spans="1:45" x14ac:dyDescent="0.25">
      <c r="A7" t="s">
        <v>7</v>
      </c>
      <c r="B7" s="17">
        <v>0</v>
      </c>
      <c r="C7" s="18">
        <v>0</v>
      </c>
      <c r="D7"/>
      <c r="E7" s="18">
        <v>0</v>
      </c>
      <c r="F7" s="18">
        <v>0</v>
      </c>
      <c r="G7" s="18">
        <v>0</v>
      </c>
      <c r="H7" s="18">
        <v>0</v>
      </c>
      <c r="I7" s="18">
        <v>0</v>
      </c>
      <c r="J7" s="18">
        <v>0</v>
      </c>
      <c r="K7" s="18">
        <v>0</v>
      </c>
      <c r="L7" s="18">
        <v>0</v>
      </c>
      <c r="M7" s="18">
        <v>0</v>
      </c>
      <c r="N7" s="18">
        <v>0</v>
      </c>
      <c r="O7" s="18">
        <v>0</v>
      </c>
      <c r="P7" s="18">
        <v>0</v>
      </c>
      <c r="Q7" s="18">
        <v>0</v>
      </c>
      <c r="R7" s="19">
        <v>0</v>
      </c>
      <c r="S7" s="17">
        <v>0</v>
      </c>
      <c r="T7" s="18">
        <v>0</v>
      </c>
      <c r="U7" s="18">
        <v>0</v>
      </c>
      <c r="V7" s="18">
        <v>0</v>
      </c>
      <c r="W7" s="17">
        <v>0</v>
      </c>
      <c r="X7" s="18">
        <v>0</v>
      </c>
      <c r="Y7" s="19">
        <v>0</v>
      </c>
      <c r="Z7" s="17">
        <v>0</v>
      </c>
      <c r="AA7" s="18">
        <v>0</v>
      </c>
      <c r="AB7" s="18">
        <v>0</v>
      </c>
      <c r="AC7" s="18">
        <v>0</v>
      </c>
      <c r="AD7" s="19">
        <v>0</v>
      </c>
      <c r="AE7" s="1">
        <v>0</v>
      </c>
      <c r="AF7" s="1">
        <v>0</v>
      </c>
      <c r="AG7" s="1">
        <v>0</v>
      </c>
      <c r="AH7" s="18">
        <v>0</v>
      </c>
      <c r="AI7" s="1">
        <v>0</v>
      </c>
      <c r="AJ7" s="1">
        <v>0</v>
      </c>
      <c r="AK7" s="18">
        <v>0</v>
      </c>
      <c r="AL7" s="1">
        <v>0</v>
      </c>
      <c r="AM7" s="23">
        <v>0</v>
      </c>
      <c r="AN7" s="18">
        <v>0</v>
      </c>
      <c r="AO7" s="1">
        <v>0</v>
      </c>
      <c r="AP7" s="23">
        <v>0</v>
      </c>
      <c r="AQ7" s="23">
        <v>0</v>
      </c>
      <c r="AR7" s="23">
        <v>0</v>
      </c>
      <c r="AS7" s="19">
        <v>0</v>
      </c>
    </row>
    <row r="8" spans="1:45" x14ac:dyDescent="0.25">
      <c r="A8" t="s">
        <v>8</v>
      </c>
      <c r="B8" s="17">
        <v>0</v>
      </c>
      <c r="C8" s="18">
        <v>0</v>
      </c>
      <c r="D8"/>
      <c r="E8" s="18">
        <v>0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  <c r="N8" s="18">
        <v>0</v>
      </c>
      <c r="O8" s="18">
        <v>0</v>
      </c>
      <c r="P8" s="18">
        <v>0</v>
      </c>
      <c r="Q8" s="18">
        <v>0</v>
      </c>
      <c r="R8" s="19">
        <v>0</v>
      </c>
      <c r="S8" s="48">
        <v>0</v>
      </c>
      <c r="T8" s="49">
        <v>0</v>
      </c>
      <c r="U8" s="49">
        <v>0</v>
      </c>
      <c r="V8" s="49">
        <v>0</v>
      </c>
      <c r="W8" s="48">
        <v>0</v>
      </c>
      <c r="X8" s="49">
        <v>0</v>
      </c>
      <c r="Y8" s="50">
        <v>0</v>
      </c>
      <c r="Z8" s="17">
        <v>0</v>
      </c>
      <c r="AA8" s="18">
        <v>0</v>
      </c>
      <c r="AB8" s="18">
        <v>0</v>
      </c>
      <c r="AC8" s="18">
        <v>0</v>
      </c>
      <c r="AD8" s="19">
        <v>0</v>
      </c>
      <c r="AE8" s="1">
        <v>0</v>
      </c>
      <c r="AF8" s="1">
        <v>0</v>
      </c>
      <c r="AG8" s="1">
        <v>0</v>
      </c>
      <c r="AH8" s="18">
        <v>0</v>
      </c>
      <c r="AI8" s="1">
        <v>0</v>
      </c>
      <c r="AJ8" s="1">
        <v>0</v>
      </c>
      <c r="AK8" s="18">
        <v>0</v>
      </c>
      <c r="AL8" s="1">
        <v>0</v>
      </c>
      <c r="AM8" s="23">
        <v>0</v>
      </c>
      <c r="AN8" s="18">
        <v>0</v>
      </c>
      <c r="AO8" s="1">
        <v>0</v>
      </c>
      <c r="AP8" s="23">
        <v>0</v>
      </c>
      <c r="AQ8" s="23">
        <v>0</v>
      </c>
      <c r="AR8" s="23">
        <v>0</v>
      </c>
      <c r="AS8" s="19">
        <v>0</v>
      </c>
    </row>
    <row r="9" spans="1:45" s="25" customFormat="1" ht="48.95" customHeight="1" x14ac:dyDescent="0.25">
      <c r="A9" s="25" t="s">
        <v>12</v>
      </c>
      <c r="B9" s="26" t="s">
        <v>9</v>
      </c>
      <c r="C9" s="27" t="s">
        <v>10</v>
      </c>
      <c r="D9" s="27" t="s">
        <v>11</v>
      </c>
      <c r="E9" s="27" t="s">
        <v>125</v>
      </c>
      <c r="F9" s="27" t="s">
        <v>126</v>
      </c>
      <c r="G9" s="27" t="s">
        <v>127</v>
      </c>
      <c r="H9" s="27" t="s">
        <v>128</v>
      </c>
      <c r="I9" s="27" t="s">
        <v>23</v>
      </c>
      <c r="J9" s="27" t="s">
        <v>19</v>
      </c>
      <c r="K9" s="27" t="s">
        <v>21</v>
      </c>
      <c r="L9" s="27" t="s">
        <v>22</v>
      </c>
      <c r="M9" s="27" t="s">
        <v>131</v>
      </c>
      <c r="N9" s="27" t="s">
        <v>132</v>
      </c>
      <c r="O9" s="27" t="s">
        <v>137</v>
      </c>
      <c r="P9" s="27" t="s">
        <v>48</v>
      </c>
      <c r="Q9" s="27" t="s">
        <v>141</v>
      </c>
      <c r="R9" s="28"/>
      <c r="S9" s="2" t="s">
        <v>44</v>
      </c>
      <c r="T9" s="2" t="s">
        <v>49</v>
      </c>
      <c r="U9" s="2" t="s">
        <v>45</v>
      </c>
      <c r="V9" s="2" t="s">
        <v>50</v>
      </c>
      <c r="W9" s="13" t="s">
        <v>53</v>
      </c>
      <c r="X9" s="2" t="s">
        <v>54</v>
      </c>
      <c r="Y9" s="2" t="s">
        <v>55</v>
      </c>
      <c r="Z9" s="41"/>
      <c r="AD9" s="28"/>
      <c r="AS9" s="28"/>
    </row>
    <row r="10" spans="1:45" x14ac:dyDescent="0.25">
      <c r="A10" t="s">
        <v>13</v>
      </c>
      <c r="B10" s="17">
        <v>87.7</v>
      </c>
      <c r="C10" s="18">
        <v>15.01</v>
      </c>
      <c r="D10" s="18">
        <v>31.5</v>
      </c>
      <c r="E10" s="18">
        <v>400</v>
      </c>
      <c r="F10" s="18">
        <v>50</v>
      </c>
      <c r="G10" s="18">
        <v>0.1</v>
      </c>
      <c r="H10" s="18">
        <v>0</v>
      </c>
      <c r="I10" s="18">
        <v>336</v>
      </c>
      <c r="J10" s="18">
        <v>50</v>
      </c>
      <c r="K10" s="18">
        <v>0.1</v>
      </c>
      <c r="L10" s="18">
        <v>1.8</v>
      </c>
      <c r="M10" s="18">
        <v>2</v>
      </c>
      <c r="N10" s="18">
        <v>2</v>
      </c>
      <c r="O10" s="18">
        <v>0.1</v>
      </c>
      <c r="P10" s="18">
        <v>0.1</v>
      </c>
      <c r="Q10" s="18">
        <v>1</v>
      </c>
      <c r="S10" s="42">
        <v>0.25</v>
      </c>
      <c r="T10" s="43">
        <v>1</v>
      </c>
      <c r="U10" s="43">
        <v>1.28</v>
      </c>
      <c r="V10" s="43">
        <v>5.12</v>
      </c>
      <c r="W10" s="44">
        <v>325</v>
      </c>
      <c r="X10" s="43">
        <v>50</v>
      </c>
      <c r="Y10" s="43">
        <v>5</v>
      </c>
      <c r="Z10" s="44">
        <v>4</v>
      </c>
      <c r="AA10" s="18">
        <v>4</v>
      </c>
      <c r="AB10" s="18">
        <v>4</v>
      </c>
      <c r="AC10" s="18">
        <v>6</v>
      </c>
      <c r="AD10" s="19">
        <v>6</v>
      </c>
      <c r="AE10" s="43">
        <v>28</v>
      </c>
      <c r="AF10" s="43" t="s">
        <v>84</v>
      </c>
      <c r="AG10" s="43">
        <v>0.05</v>
      </c>
      <c r="AH10" s="43">
        <v>36</v>
      </c>
      <c r="AI10" s="43" t="s">
        <v>84</v>
      </c>
      <c r="AJ10" s="43">
        <v>0.05</v>
      </c>
      <c r="AK10" s="43">
        <v>32</v>
      </c>
      <c r="AL10" s="43" t="s">
        <v>84</v>
      </c>
      <c r="AM10" s="47">
        <v>0.1</v>
      </c>
      <c r="AN10" s="43">
        <v>32</v>
      </c>
      <c r="AO10" s="43" t="s">
        <v>84</v>
      </c>
      <c r="AP10" s="43">
        <v>0.05</v>
      </c>
      <c r="AQ10" s="43">
        <v>22</v>
      </c>
      <c r="AR10" s="43" t="s">
        <v>96</v>
      </c>
      <c r="AS10" s="46">
        <v>0.05</v>
      </c>
    </row>
    <row r="11" spans="1:45" x14ac:dyDescent="0.25">
      <c r="A11" t="s">
        <v>14</v>
      </c>
      <c r="B11" s="17">
        <v>105.9</v>
      </c>
      <c r="C11" s="18">
        <v>15.01</v>
      </c>
      <c r="D11" s="18">
        <v>31.5</v>
      </c>
      <c r="E11" s="18">
        <v>400</v>
      </c>
      <c r="F11" s="18">
        <v>50</v>
      </c>
      <c r="G11" s="18">
        <v>0.1</v>
      </c>
      <c r="H11" s="18">
        <v>0</v>
      </c>
      <c r="I11" s="18">
        <v>336</v>
      </c>
      <c r="J11" s="18">
        <v>50</v>
      </c>
      <c r="K11" s="18">
        <v>0.1</v>
      </c>
      <c r="L11" s="18">
        <v>1.8</v>
      </c>
      <c r="M11" s="18">
        <v>2</v>
      </c>
      <c r="N11" s="18">
        <v>2</v>
      </c>
      <c r="O11" s="18">
        <v>0.1</v>
      </c>
      <c r="P11" s="18">
        <v>0.1</v>
      </c>
      <c r="Q11" s="18">
        <v>1</v>
      </c>
      <c r="S11" s="4">
        <v>0.25</v>
      </c>
      <c r="T11" s="1">
        <v>1</v>
      </c>
      <c r="U11" s="1">
        <v>1.28</v>
      </c>
      <c r="V11" s="1">
        <v>5.12</v>
      </c>
      <c r="W11" s="17">
        <v>325</v>
      </c>
      <c r="X11" s="1">
        <v>50</v>
      </c>
      <c r="Y11" s="1">
        <v>5</v>
      </c>
      <c r="Z11" s="17">
        <v>4</v>
      </c>
      <c r="AA11" s="18">
        <v>4</v>
      </c>
      <c r="AB11" s="18">
        <v>4</v>
      </c>
      <c r="AC11" s="18">
        <v>6</v>
      </c>
      <c r="AD11" s="19">
        <v>6</v>
      </c>
      <c r="AE11" s="1">
        <v>28</v>
      </c>
      <c r="AF11" s="1" t="s">
        <v>84</v>
      </c>
      <c r="AG11" s="1">
        <v>0.05</v>
      </c>
      <c r="AH11" s="18">
        <v>36</v>
      </c>
      <c r="AI11" s="1" t="s">
        <v>84</v>
      </c>
      <c r="AJ11" s="1">
        <v>0.05</v>
      </c>
      <c r="AK11" s="18">
        <v>32</v>
      </c>
      <c r="AL11" s="1" t="s">
        <v>84</v>
      </c>
      <c r="AM11" s="23">
        <v>0.1</v>
      </c>
      <c r="AN11" s="18">
        <v>32</v>
      </c>
      <c r="AO11" s="1" t="s">
        <v>84</v>
      </c>
      <c r="AP11" s="1">
        <v>0.05</v>
      </c>
      <c r="AQ11" s="1">
        <v>22</v>
      </c>
      <c r="AR11" s="1" t="s">
        <v>96</v>
      </c>
      <c r="AS11" s="19">
        <v>0.05</v>
      </c>
    </row>
    <row r="12" spans="1:45" x14ac:dyDescent="0.25">
      <c r="A12" t="s">
        <v>15</v>
      </c>
      <c r="B12" s="17">
        <v>120.9</v>
      </c>
      <c r="C12" s="18">
        <v>15.01</v>
      </c>
      <c r="D12" s="18">
        <v>31.5</v>
      </c>
      <c r="E12" s="18">
        <v>400</v>
      </c>
      <c r="F12" s="18">
        <v>50</v>
      </c>
      <c r="G12" s="18">
        <v>0.1</v>
      </c>
      <c r="H12" s="18">
        <v>0</v>
      </c>
      <c r="I12" s="18">
        <v>336</v>
      </c>
      <c r="J12" s="18">
        <v>50</v>
      </c>
      <c r="K12" s="18">
        <v>0.1</v>
      </c>
      <c r="L12" s="18">
        <v>1.8</v>
      </c>
      <c r="M12" s="18">
        <v>2</v>
      </c>
      <c r="N12" s="18">
        <v>2</v>
      </c>
      <c r="O12" s="18">
        <v>0.1</v>
      </c>
      <c r="P12" s="18">
        <v>0.1</v>
      </c>
      <c r="Q12" s="18">
        <v>1</v>
      </c>
      <c r="S12" s="4">
        <v>0.25</v>
      </c>
      <c r="T12" s="1">
        <v>1</v>
      </c>
      <c r="U12" s="1">
        <v>1.28</v>
      </c>
      <c r="V12" s="1">
        <v>5.12</v>
      </c>
      <c r="W12" s="17">
        <v>325</v>
      </c>
      <c r="X12" s="1">
        <v>50</v>
      </c>
      <c r="Y12" s="1">
        <v>5</v>
      </c>
      <c r="Z12" s="17">
        <v>4</v>
      </c>
      <c r="AA12" s="18">
        <v>4</v>
      </c>
      <c r="AB12" s="18">
        <v>4</v>
      </c>
      <c r="AC12" s="18">
        <v>6</v>
      </c>
      <c r="AD12" s="19">
        <v>6</v>
      </c>
      <c r="AE12" s="1">
        <v>28</v>
      </c>
      <c r="AF12" s="1" t="s">
        <v>84</v>
      </c>
      <c r="AG12" s="1">
        <v>0.05</v>
      </c>
      <c r="AH12" s="18">
        <v>36</v>
      </c>
      <c r="AI12" s="1" t="s">
        <v>84</v>
      </c>
      <c r="AJ12" s="1">
        <v>0.05</v>
      </c>
      <c r="AK12" s="18">
        <v>32</v>
      </c>
      <c r="AL12" s="1" t="s">
        <v>84</v>
      </c>
      <c r="AM12" s="23">
        <v>0.1</v>
      </c>
      <c r="AN12" s="18">
        <v>32</v>
      </c>
      <c r="AO12" s="1" t="s">
        <v>84</v>
      </c>
      <c r="AP12" s="1">
        <v>0.05</v>
      </c>
      <c r="AQ12" s="1">
        <v>22</v>
      </c>
      <c r="AR12" s="1" t="s">
        <v>96</v>
      </c>
      <c r="AS12" s="19">
        <v>0.05</v>
      </c>
    </row>
    <row r="13" spans="1:45" x14ac:dyDescent="0.25">
      <c r="A13" t="s">
        <v>16</v>
      </c>
      <c r="B13" s="17">
        <v>135.9</v>
      </c>
      <c r="C13" s="18">
        <v>15.01</v>
      </c>
      <c r="D13" s="18">
        <v>31.5</v>
      </c>
      <c r="E13" s="18">
        <v>400</v>
      </c>
      <c r="F13" s="18">
        <v>50</v>
      </c>
      <c r="G13" s="18">
        <v>0.1</v>
      </c>
      <c r="H13" s="18">
        <v>0</v>
      </c>
      <c r="I13" s="18">
        <v>336</v>
      </c>
      <c r="J13" s="18">
        <v>50</v>
      </c>
      <c r="K13" s="18">
        <v>0.1</v>
      </c>
      <c r="L13" s="18">
        <v>1.8</v>
      </c>
      <c r="M13" s="18">
        <v>2</v>
      </c>
      <c r="N13" s="18">
        <v>2</v>
      </c>
      <c r="O13" s="18">
        <v>0.1</v>
      </c>
      <c r="P13" s="18">
        <v>0.1</v>
      </c>
      <c r="Q13" s="18">
        <v>1</v>
      </c>
      <c r="S13" s="4">
        <v>0.25</v>
      </c>
      <c r="T13" s="1">
        <v>1</v>
      </c>
      <c r="U13" s="1">
        <v>1.28</v>
      </c>
      <c r="V13" s="1">
        <v>5.12</v>
      </c>
      <c r="W13" s="17">
        <v>325</v>
      </c>
      <c r="X13" s="1">
        <v>50</v>
      </c>
      <c r="Y13" s="1">
        <v>5</v>
      </c>
      <c r="Z13" s="17">
        <v>4</v>
      </c>
      <c r="AA13" s="18">
        <v>4</v>
      </c>
      <c r="AB13" s="18">
        <v>4</v>
      </c>
      <c r="AC13" s="18">
        <v>6</v>
      </c>
      <c r="AD13" s="19">
        <v>6</v>
      </c>
      <c r="AE13" s="1">
        <v>28</v>
      </c>
      <c r="AF13" s="1" t="s">
        <v>84</v>
      </c>
      <c r="AG13" s="1">
        <v>0.05</v>
      </c>
      <c r="AH13" s="18">
        <v>36</v>
      </c>
      <c r="AI13" s="1" t="s">
        <v>84</v>
      </c>
      <c r="AJ13" s="1">
        <v>0.05</v>
      </c>
      <c r="AK13" s="18">
        <v>32</v>
      </c>
      <c r="AL13" s="1" t="s">
        <v>84</v>
      </c>
      <c r="AM13" s="23">
        <v>0.1</v>
      </c>
      <c r="AN13" s="18">
        <v>32</v>
      </c>
      <c r="AO13" s="1" t="s">
        <v>84</v>
      </c>
      <c r="AP13" s="1">
        <v>0.05</v>
      </c>
      <c r="AQ13" s="1">
        <v>22</v>
      </c>
      <c r="AR13" s="1" t="s">
        <v>96</v>
      </c>
      <c r="AS13" s="19">
        <v>0.05</v>
      </c>
    </row>
    <row r="14" spans="1:45" x14ac:dyDescent="0.25">
      <c r="A14" t="s">
        <v>17</v>
      </c>
      <c r="B14" s="17">
        <v>150.9</v>
      </c>
      <c r="C14" s="18">
        <v>17.059999999999999</v>
      </c>
      <c r="D14" s="18">
        <v>31.5</v>
      </c>
      <c r="E14" s="18">
        <v>400</v>
      </c>
      <c r="F14" s="18">
        <v>50</v>
      </c>
      <c r="G14" s="18">
        <v>0.1</v>
      </c>
      <c r="H14" s="18">
        <v>0</v>
      </c>
      <c r="I14" s="18">
        <v>336</v>
      </c>
      <c r="J14" s="18">
        <v>50</v>
      </c>
      <c r="K14" s="18">
        <v>0.1</v>
      </c>
      <c r="L14" s="18">
        <v>1.8</v>
      </c>
      <c r="M14" s="18">
        <v>2</v>
      </c>
      <c r="N14" s="18">
        <v>2</v>
      </c>
      <c r="O14" s="18">
        <v>0.1</v>
      </c>
      <c r="P14" s="18">
        <v>0.1</v>
      </c>
      <c r="Q14" s="18">
        <v>1</v>
      </c>
      <c r="S14" s="4">
        <v>0.25</v>
      </c>
      <c r="T14" s="1">
        <v>1</v>
      </c>
      <c r="U14" s="1">
        <v>1.28</v>
      </c>
      <c r="V14" s="1">
        <v>5.12</v>
      </c>
      <c r="W14" s="17">
        <v>325</v>
      </c>
      <c r="X14" s="1">
        <v>50</v>
      </c>
      <c r="Y14" s="1">
        <v>5</v>
      </c>
      <c r="Z14" s="17">
        <v>4</v>
      </c>
      <c r="AA14" s="18">
        <v>4</v>
      </c>
      <c r="AB14" s="18">
        <v>4</v>
      </c>
      <c r="AC14" s="18">
        <v>6</v>
      </c>
      <c r="AD14" s="19">
        <v>6</v>
      </c>
      <c r="AE14" s="1">
        <v>28</v>
      </c>
      <c r="AF14" s="1" t="s">
        <v>84</v>
      </c>
      <c r="AG14" s="1">
        <v>0.05</v>
      </c>
      <c r="AH14" s="18">
        <v>36</v>
      </c>
      <c r="AI14" s="1" t="s">
        <v>84</v>
      </c>
      <c r="AJ14" s="1">
        <v>0.05</v>
      </c>
      <c r="AK14" s="18">
        <v>32</v>
      </c>
      <c r="AL14" s="1" t="s">
        <v>84</v>
      </c>
      <c r="AM14" s="23">
        <v>0.1</v>
      </c>
      <c r="AN14" s="18">
        <v>32</v>
      </c>
      <c r="AO14" s="1" t="s">
        <v>84</v>
      </c>
      <c r="AP14" s="1">
        <v>0.05</v>
      </c>
      <c r="AQ14" s="1">
        <v>22</v>
      </c>
      <c r="AR14" s="1" t="s">
        <v>96</v>
      </c>
      <c r="AS14" s="19">
        <v>0.05</v>
      </c>
    </row>
    <row r="15" spans="1:45" x14ac:dyDescent="0.25">
      <c r="A15" s="16" t="s">
        <v>18</v>
      </c>
      <c r="B15" s="48">
        <v>167.5</v>
      </c>
      <c r="C15" s="49">
        <v>21.24</v>
      </c>
      <c r="D15" s="49">
        <v>31.5</v>
      </c>
      <c r="E15" s="49">
        <v>400</v>
      </c>
      <c r="F15" s="49">
        <v>50</v>
      </c>
      <c r="G15" s="49">
        <v>0.1</v>
      </c>
      <c r="H15" s="49">
        <v>0</v>
      </c>
      <c r="I15" s="49">
        <v>336</v>
      </c>
      <c r="J15" s="49">
        <v>50</v>
      </c>
      <c r="K15" s="49">
        <v>0.1</v>
      </c>
      <c r="L15" s="49">
        <v>1.8</v>
      </c>
      <c r="M15" s="49">
        <v>2</v>
      </c>
      <c r="N15" s="49">
        <v>2</v>
      </c>
      <c r="O15" s="49">
        <v>0.1</v>
      </c>
      <c r="P15" s="49">
        <v>0.1</v>
      </c>
      <c r="Q15" s="49">
        <v>1</v>
      </c>
      <c r="R15" s="51"/>
      <c r="S15" s="52">
        <v>0.25</v>
      </c>
      <c r="T15" s="49">
        <v>1</v>
      </c>
      <c r="U15" s="49">
        <v>1.28</v>
      </c>
      <c r="V15" s="49">
        <v>5.12</v>
      </c>
      <c r="W15" s="48">
        <v>325</v>
      </c>
      <c r="X15" s="49">
        <v>50</v>
      </c>
      <c r="Y15" s="49">
        <v>5</v>
      </c>
      <c r="Z15" s="48">
        <v>4</v>
      </c>
      <c r="AA15" s="49">
        <v>4</v>
      </c>
      <c r="AB15" s="49">
        <v>4</v>
      </c>
      <c r="AC15" s="49">
        <v>6</v>
      </c>
      <c r="AD15" s="50">
        <v>6</v>
      </c>
      <c r="AE15" s="48">
        <v>28</v>
      </c>
      <c r="AF15" s="49" t="s">
        <v>84</v>
      </c>
      <c r="AG15" s="49">
        <v>0.05</v>
      </c>
      <c r="AH15" s="49">
        <v>36</v>
      </c>
      <c r="AI15" s="49" t="s">
        <v>84</v>
      </c>
      <c r="AJ15" s="49">
        <v>0.05</v>
      </c>
      <c r="AK15" s="49">
        <v>32</v>
      </c>
      <c r="AL15" s="49" t="s">
        <v>84</v>
      </c>
      <c r="AM15" s="53">
        <v>0.1</v>
      </c>
      <c r="AN15" s="49">
        <v>32</v>
      </c>
      <c r="AO15" s="49" t="s">
        <v>84</v>
      </c>
      <c r="AP15" s="49">
        <v>0.05</v>
      </c>
      <c r="AQ15" s="49">
        <v>22</v>
      </c>
      <c r="AR15" s="49" t="s">
        <v>96</v>
      </c>
      <c r="AS15" s="50">
        <v>0.05</v>
      </c>
    </row>
    <row r="17" spans="1:45" s="30" customFormat="1" x14ac:dyDescent="0.25">
      <c r="A17" s="30" t="s">
        <v>80</v>
      </c>
      <c r="B17" s="31"/>
      <c r="C17" s="35"/>
      <c r="R17" s="32"/>
      <c r="W17" s="31"/>
      <c r="Z17" s="31"/>
      <c r="AD17" s="32"/>
      <c r="AS17" s="32"/>
    </row>
    <row r="18" spans="1:45" ht="33" customHeight="1" x14ac:dyDescent="0.25">
      <c r="A18" t="s">
        <v>51</v>
      </c>
      <c r="B18" s="33" t="s">
        <v>81</v>
      </c>
      <c r="C18" s="34" t="s">
        <v>82</v>
      </c>
      <c r="D18" s="20" t="s">
        <v>52</v>
      </c>
      <c r="E18" s="20" t="s">
        <v>86</v>
      </c>
      <c r="F18" s="20" t="s">
        <v>87</v>
      </c>
      <c r="G18" s="20" t="s">
        <v>117</v>
      </c>
    </row>
    <row r="19" spans="1:45" x14ac:dyDescent="0.25">
      <c r="A19">
        <v>20</v>
      </c>
      <c r="B19" s="17">
        <v>0.81200000000000006</v>
      </c>
      <c r="C19" s="18">
        <v>31.3</v>
      </c>
      <c r="D19" s="7">
        <f t="shared" ref="D19:D35" si="0">PI()*(B19/2)^2</f>
        <v>0.51784756664712717</v>
      </c>
      <c r="E19" s="7">
        <f>B$40/$D19</f>
        <v>3.4373049419249881E-2</v>
      </c>
      <c r="F19" s="7">
        <f t="shared" ref="F19:F35" si="1">B$38/$D19</f>
        <v>5.3876858359386055E-2</v>
      </c>
      <c r="G19" s="7">
        <f t="shared" ref="G19:G35" si="2">B$39/$D19</f>
        <v>5.2911323263339707E-2</v>
      </c>
    </row>
    <row r="20" spans="1:45" x14ac:dyDescent="0.25">
      <c r="A20">
        <v>21</v>
      </c>
      <c r="B20" s="17">
        <v>0.72299999999999998</v>
      </c>
      <c r="C20" s="18">
        <v>35.1</v>
      </c>
      <c r="D20" s="7">
        <f t="shared" si="0"/>
        <v>0.41055039655458475</v>
      </c>
      <c r="E20" s="7">
        <f t="shared" ref="E20:E35" si="3">B$40/D20</f>
        <v>4.335643114555706E-2</v>
      </c>
      <c r="F20" s="7">
        <f t="shared" si="1"/>
        <v>6.7957552188822587E-2</v>
      </c>
      <c r="G20" s="7">
        <f t="shared" si="2"/>
        <v>6.6739674909452998E-2</v>
      </c>
    </row>
    <row r="21" spans="1:45" x14ac:dyDescent="0.25">
      <c r="A21">
        <v>22</v>
      </c>
      <c r="B21" s="17">
        <v>0.64400000000000002</v>
      </c>
      <c r="C21" s="18">
        <v>39.5</v>
      </c>
      <c r="D21" s="7">
        <f t="shared" si="0"/>
        <v>0.32573289269480415</v>
      </c>
      <c r="E21" s="7">
        <f t="shared" si="3"/>
        <v>5.46460010616052E-2</v>
      </c>
      <c r="F21" s="7">
        <f t="shared" si="1"/>
        <v>8.5653001663976686E-2</v>
      </c>
      <c r="G21" s="7">
        <f t="shared" si="2"/>
        <v>8.4118001634156322E-2</v>
      </c>
    </row>
    <row r="22" spans="1:45" x14ac:dyDescent="0.25">
      <c r="A22">
        <v>23</v>
      </c>
      <c r="B22" s="17">
        <v>0.57299999999999995</v>
      </c>
      <c r="C22" s="18">
        <v>44.3</v>
      </c>
      <c r="D22" s="7">
        <f t="shared" si="0"/>
        <v>0.25786899359012072</v>
      </c>
      <c r="E22" s="7">
        <f t="shared" si="3"/>
        <v>6.9027298521561919E-2</v>
      </c>
      <c r="F22" s="7">
        <f t="shared" si="1"/>
        <v>0.10819447352536953</v>
      </c>
      <c r="G22" s="7">
        <f t="shared" si="2"/>
        <v>0.10625550446577509</v>
      </c>
    </row>
    <row r="23" spans="1:45" x14ac:dyDescent="0.25">
      <c r="A23">
        <v>24</v>
      </c>
      <c r="B23" s="17">
        <v>0.51100000000000001</v>
      </c>
      <c r="C23" s="18">
        <v>49.7</v>
      </c>
      <c r="D23" s="7">
        <f t="shared" si="0"/>
        <v>0.20508395382450509</v>
      </c>
      <c r="E23" s="7">
        <f t="shared" si="3"/>
        <v>8.6793723585180421E-2</v>
      </c>
      <c r="F23" s="7">
        <f t="shared" si="1"/>
        <v>0.13604184764194011</v>
      </c>
      <c r="G23" s="7">
        <f t="shared" si="2"/>
        <v>0.13360382169853616</v>
      </c>
    </row>
    <row r="24" spans="1:45" x14ac:dyDescent="0.25">
      <c r="A24">
        <v>25</v>
      </c>
      <c r="B24" s="17">
        <v>0.45500000000000002</v>
      </c>
      <c r="C24" s="18">
        <v>55.9</v>
      </c>
      <c r="D24" s="7">
        <f t="shared" si="0"/>
        <v>0.16259705477735675</v>
      </c>
      <c r="E24" s="7">
        <f t="shared" si="3"/>
        <v>0.10947307762968672</v>
      </c>
      <c r="F24" s="7">
        <f t="shared" si="1"/>
        <v>0.17158982392518313</v>
      </c>
      <c r="G24" s="7">
        <f t="shared" si="2"/>
        <v>0.16851473747491102</v>
      </c>
    </row>
    <row r="25" spans="1:45" x14ac:dyDescent="0.25">
      <c r="A25">
        <v>26</v>
      </c>
      <c r="B25" s="17">
        <v>0.40500000000000003</v>
      </c>
      <c r="C25" s="18">
        <v>62.7</v>
      </c>
      <c r="D25" s="7">
        <f t="shared" si="0"/>
        <v>0.12882493375126647</v>
      </c>
      <c r="E25" s="7">
        <f t="shared" si="3"/>
        <v>0.13817200973196705</v>
      </c>
      <c r="F25" s="7">
        <f t="shared" si="1"/>
        <v>0.21657298154617308</v>
      </c>
      <c r="G25" s="7">
        <f t="shared" si="2"/>
        <v>0.21269174531774704</v>
      </c>
    </row>
    <row r="26" spans="1:45" x14ac:dyDescent="0.25">
      <c r="A26">
        <v>27</v>
      </c>
      <c r="B26" s="17">
        <v>0.36099999999999999</v>
      </c>
      <c r="C26" s="18">
        <v>70.400000000000006</v>
      </c>
      <c r="D26" s="7">
        <f t="shared" si="0"/>
        <v>0.10235387405211885</v>
      </c>
      <c r="E26" s="7">
        <f t="shared" si="3"/>
        <v>0.17390646094095272</v>
      </c>
      <c r="F26" s="7">
        <f t="shared" si="1"/>
        <v>0.27258372248610008</v>
      </c>
      <c r="G26" s="7">
        <f t="shared" si="2"/>
        <v>0.26769870953832048</v>
      </c>
    </row>
    <row r="27" spans="1:45" x14ac:dyDescent="0.25">
      <c r="A27">
        <v>28</v>
      </c>
      <c r="B27" s="17">
        <v>0.32100000000000001</v>
      </c>
      <c r="C27" s="18">
        <v>79.099999999999994</v>
      </c>
      <c r="D27" s="7">
        <f t="shared" si="0"/>
        <v>8.092821215463647E-2</v>
      </c>
      <c r="E27" s="7">
        <f t="shared" si="3"/>
        <v>0.21994801968426059</v>
      </c>
      <c r="F27" s="7">
        <f t="shared" si="1"/>
        <v>0.34474998590959949</v>
      </c>
      <c r="G27" s="7">
        <f t="shared" si="2"/>
        <v>0.33857167074992922</v>
      </c>
    </row>
    <row r="28" spans="1:45" x14ac:dyDescent="0.25">
      <c r="A28">
        <v>29</v>
      </c>
      <c r="B28" s="17">
        <v>0.28599999999999998</v>
      </c>
      <c r="C28" s="18">
        <v>88.8</v>
      </c>
      <c r="D28" s="7">
        <f t="shared" si="0"/>
        <v>6.4242428173257662E-2</v>
      </c>
      <c r="E28" s="7">
        <f t="shared" si="3"/>
        <v>0.27707545474455847</v>
      </c>
      <c r="F28" s="7">
        <f t="shared" si="1"/>
        <v>0.43429242625692027</v>
      </c>
      <c r="G28" s="7">
        <f t="shared" si="2"/>
        <v>0.42650940786521918</v>
      </c>
    </row>
    <row r="29" spans="1:45" x14ac:dyDescent="0.25">
      <c r="A29">
        <v>30</v>
      </c>
      <c r="B29" s="17">
        <v>0.255</v>
      </c>
      <c r="C29" s="18">
        <v>99.7</v>
      </c>
      <c r="D29" s="7">
        <f t="shared" si="0"/>
        <v>5.1070515574919075E-2</v>
      </c>
      <c r="E29" s="7">
        <f t="shared" si="3"/>
        <v>0.34853769928928713</v>
      </c>
      <c r="F29" s="7">
        <f t="shared" si="1"/>
        <v>0.54630347248152311</v>
      </c>
      <c r="G29" s="7">
        <f t="shared" si="2"/>
        <v>0.53651308767002626</v>
      </c>
    </row>
    <row r="30" spans="1:45" x14ac:dyDescent="0.25">
      <c r="A30">
        <v>31</v>
      </c>
      <c r="B30" s="17">
        <v>0.22700000000000001</v>
      </c>
      <c r="C30" s="18">
        <v>112</v>
      </c>
      <c r="D30" s="7">
        <f t="shared" si="0"/>
        <v>4.0470781961707114E-2</v>
      </c>
      <c r="E30" s="7">
        <f t="shared" si="3"/>
        <v>0.43982347602875849</v>
      </c>
      <c r="F30" s="7">
        <f t="shared" si="1"/>
        <v>0.68938623489900908</v>
      </c>
      <c r="G30" s="7">
        <f t="shared" si="2"/>
        <v>0.67703164287572937</v>
      </c>
    </row>
    <row r="31" spans="1:45" x14ac:dyDescent="0.25">
      <c r="A31">
        <v>32</v>
      </c>
      <c r="B31" s="17">
        <v>0.20200000000000001</v>
      </c>
      <c r="C31" s="18">
        <v>126</v>
      </c>
      <c r="D31" s="7">
        <f t="shared" si="0"/>
        <v>3.2047386659269483E-2</v>
      </c>
      <c r="E31" s="7">
        <f t="shared" si="3"/>
        <v>0.55542750456538315</v>
      </c>
      <c r="F31" s="7">
        <f t="shared" si="1"/>
        <v>0.87058580771765115</v>
      </c>
      <c r="G31" s="7">
        <f t="shared" si="2"/>
        <v>0.85498391152199427</v>
      </c>
    </row>
    <row r="32" spans="1:45" x14ac:dyDescent="0.25">
      <c r="A32">
        <v>33</v>
      </c>
      <c r="B32" s="17">
        <v>0.18</v>
      </c>
      <c r="C32" s="18">
        <v>141</v>
      </c>
      <c r="D32" s="7">
        <f t="shared" si="0"/>
        <v>2.5446900494077322E-2</v>
      </c>
      <c r="E32" s="7">
        <f t="shared" si="3"/>
        <v>0.69949579926808325</v>
      </c>
      <c r="F32" s="7">
        <f t="shared" si="1"/>
        <v>1.0964007190775014</v>
      </c>
      <c r="G32" s="7">
        <f t="shared" si="2"/>
        <v>1.0767519606710945</v>
      </c>
    </row>
    <row r="33" spans="1:45" x14ac:dyDescent="0.25">
      <c r="A33">
        <v>34</v>
      </c>
      <c r="B33" s="17">
        <v>0.16</v>
      </c>
      <c r="C33" s="18">
        <v>159</v>
      </c>
      <c r="D33" s="7">
        <f t="shared" si="0"/>
        <v>2.0106192982974676E-2</v>
      </c>
      <c r="E33" s="7">
        <f t="shared" si="3"/>
        <v>0.88529937094866784</v>
      </c>
      <c r="F33" s="7">
        <f t="shared" si="1"/>
        <v>1.3876321600824626</v>
      </c>
      <c r="G33" s="7">
        <f t="shared" si="2"/>
        <v>1.3627642002243538</v>
      </c>
    </row>
    <row r="34" spans="1:45" x14ac:dyDescent="0.25">
      <c r="A34">
        <v>35</v>
      </c>
      <c r="B34" s="17">
        <v>0.14299999999999999</v>
      </c>
      <c r="C34" s="18">
        <v>178</v>
      </c>
      <c r="D34" s="7">
        <f t="shared" si="0"/>
        <v>1.6060607043314416E-2</v>
      </c>
      <c r="E34" s="7">
        <f t="shared" si="3"/>
        <v>1.1083018189782339</v>
      </c>
      <c r="F34" s="7">
        <f t="shared" si="1"/>
        <v>1.7371697050276811</v>
      </c>
      <c r="G34" s="7">
        <f t="shared" si="2"/>
        <v>1.7060376314608767</v>
      </c>
    </row>
    <row r="35" spans="1:45" x14ac:dyDescent="0.25">
      <c r="A35">
        <v>36</v>
      </c>
      <c r="B35" s="17">
        <v>0.127</v>
      </c>
      <c r="C35" s="18">
        <v>200</v>
      </c>
      <c r="D35" s="7">
        <f t="shared" si="0"/>
        <v>1.2667686977437444E-2</v>
      </c>
      <c r="E35" s="7">
        <f t="shared" si="3"/>
        <v>1.4051499718696692</v>
      </c>
      <c r="F35" s="7">
        <f t="shared" si="1"/>
        <v>2.2024541693912232</v>
      </c>
      <c r="G35" s="7">
        <f t="shared" si="2"/>
        <v>2.1629836645634235</v>
      </c>
    </row>
    <row r="37" spans="1:45" s="25" customFormat="1" ht="63" x14ac:dyDescent="0.25">
      <c r="B37" s="26" t="s">
        <v>83</v>
      </c>
      <c r="C37" s="27" t="s">
        <v>89</v>
      </c>
      <c r="D37" s="27" t="s">
        <v>95</v>
      </c>
      <c r="R37" s="28"/>
      <c r="W37" s="29"/>
      <c r="Z37" s="29"/>
      <c r="AD37" s="28"/>
      <c r="AS37" s="28"/>
    </row>
    <row r="38" spans="1:45" x14ac:dyDescent="0.25">
      <c r="A38" t="s">
        <v>85</v>
      </c>
      <c r="B38" s="17">
        <v>2.7900000000000001E-2</v>
      </c>
      <c r="C38" s="18">
        <v>6</v>
      </c>
      <c r="D38" s="18">
        <v>2.71</v>
      </c>
    </row>
    <row r="39" spans="1:45" x14ac:dyDescent="0.25">
      <c r="A39" t="s">
        <v>96</v>
      </c>
      <c r="B39" s="21">
        <f>IF(E39=10%,0.0274,IF(E39=15%,0.0267,0))</f>
        <v>2.7400000000000001E-2</v>
      </c>
      <c r="C39" s="18">
        <v>7</v>
      </c>
      <c r="D39" s="7">
        <f>(1-E39)*D38+E39*D40</f>
        <v>3.3330000000000002</v>
      </c>
      <c r="E39" s="24">
        <v>0.1</v>
      </c>
      <c r="F39" s="9" t="s">
        <v>115</v>
      </c>
    </row>
    <row r="40" spans="1:45" x14ac:dyDescent="0.25">
      <c r="A40" t="s">
        <v>84</v>
      </c>
      <c r="B40" s="17">
        <v>1.78E-2</v>
      </c>
      <c r="C40" s="18">
        <v>5</v>
      </c>
      <c r="D40" s="18">
        <v>8.94</v>
      </c>
    </row>
    <row r="41" spans="1:45" x14ac:dyDescent="0.25">
      <c r="A41" t="s">
        <v>106</v>
      </c>
      <c r="B41" s="17" t="s">
        <v>116</v>
      </c>
      <c r="C41" s="18"/>
      <c r="D41" s="18">
        <v>1.42</v>
      </c>
    </row>
    <row r="42" spans="1:45" x14ac:dyDescent="0.25">
      <c r="A42" t="s">
        <v>110</v>
      </c>
    </row>
    <row r="43" spans="1:45" x14ac:dyDescent="0.25">
      <c r="A43" t="s">
        <v>157</v>
      </c>
    </row>
  </sheetData>
  <mergeCells count="5">
    <mergeCell ref="Z1:AD1"/>
    <mergeCell ref="AE1:AS1"/>
    <mergeCell ref="B1:R1"/>
    <mergeCell ref="W1:Y1"/>
    <mergeCell ref="S1:V1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65"/>
  <sheetViews>
    <sheetView topLeftCell="A17" workbookViewId="0">
      <selection activeCell="G20" sqref="G20"/>
    </sheetView>
  </sheetViews>
  <sheetFormatPr defaultColWidth="11" defaultRowHeight="15.75" x14ac:dyDescent="0.25"/>
  <cols>
    <col min="2" max="5" width="10" customWidth="1"/>
    <col min="10" max="10" width="10.875" style="15"/>
    <col min="11" max="14" width="10.875" style="9"/>
    <col min="15" max="15" width="10.875" style="12"/>
    <col min="16" max="16" width="10.875" style="15"/>
    <col min="17" max="17" width="10.875" style="9"/>
    <col min="18" max="22" width="11.5" style="9" customWidth="1"/>
    <col min="23" max="24" width="10.875" style="9"/>
    <col min="25" max="25" width="12.125" style="9" bestFit="1" customWidth="1"/>
    <col min="26" max="29" width="10.875" style="9"/>
    <col min="30" max="30" width="10.875" style="15"/>
    <col min="35" max="35" width="11.125" customWidth="1"/>
    <col min="60" max="60" width="11.875" customWidth="1"/>
    <col min="74" max="74" width="12.875" customWidth="1"/>
  </cols>
  <sheetData>
    <row r="1" spans="1:85" x14ac:dyDescent="0.25">
      <c r="J1" s="76" t="s">
        <v>65</v>
      </c>
      <c r="K1" s="77"/>
      <c r="L1" s="77"/>
      <c r="M1" s="77"/>
      <c r="N1" s="77"/>
      <c r="O1" s="78"/>
      <c r="P1" s="65" t="s">
        <v>64</v>
      </c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7"/>
      <c r="AD1" s="79" t="s">
        <v>111</v>
      </c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1"/>
      <c r="AR1" s="82" t="s">
        <v>112</v>
      </c>
      <c r="AS1" s="83"/>
      <c r="AT1" s="83"/>
      <c r="AU1" s="83"/>
      <c r="AV1" s="83"/>
      <c r="AW1" s="83"/>
      <c r="AX1" s="83"/>
      <c r="AY1" s="83"/>
      <c r="AZ1" s="83"/>
      <c r="BA1" s="83"/>
      <c r="BB1" s="83"/>
      <c r="BC1" s="83"/>
      <c r="BD1" s="83"/>
      <c r="BE1" s="84"/>
      <c r="BF1" s="70" t="s">
        <v>114</v>
      </c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85"/>
      <c r="BT1" s="73" t="s">
        <v>118</v>
      </c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5"/>
    </row>
    <row r="2" spans="1:85" ht="44.1" customHeight="1" x14ac:dyDescent="0.25">
      <c r="A2" t="s">
        <v>1</v>
      </c>
      <c r="B2" s="2" t="s">
        <v>28</v>
      </c>
      <c r="C2" s="2" t="s">
        <v>29</v>
      </c>
      <c r="D2" s="2" t="s">
        <v>30</v>
      </c>
      <c r="E2" s="2" t="s">
        <v>33</v>
      </c>
      <c r="F2" s="2" t="s">
        <v>25</v>
      </c>
      <c r="G2" s="2" t="s">
        <v>34</v>
      </c>
      <c r="H2" s="2" t="s">
        <v>35</v>
      </c>
      <c r="I2" s="2" t="s">
        <v>36</v>
      </c>
      <c r="J2" s="13" t="s">
        <v>38</v>
      </c>
      <c r="K2" s="5" t="s">
        <v>39</v>
      </c>
      <c r="L2" s="5" t="s">
        <v>40</v>
      </c>
      <c r="M2" s="5" t="s">
        <v>41</v>
      </c>
      <c r="N2" s="5" t="s">
        <v>42</v>
      </c>
      <c r="O2" s="6" t="s">
        <v>43</v>
      </c>
      <c r="P2" s="13" t="s">
        <v>123</v>
      </c>
      <c r="Q2" s="5" t="s">
        <v>99</v>
      </c>
      <c r="R2" s="5" t="s">
        <v>59</v>
      </c>
      <c r="S2" s="5" t="s">
        <v>58</v>
      </c>
      <c r="T2" s="5" t="s">
        <v>66</v>
      </c>
      <c r="U2" s="5" t="s">
        <v>108</v>
      </c>
      <c r="V2" s="5" t="s">
        <v>109</v>
      </c>
      <c r="W2" s="5" t="s">
        <v>56</v>
      </c>
      <c r="X2" s="5" t="s">
        <v>88</v>
      </c>
      <c r="Y2" s="5" t="s">
        <v>100</v>
      </c>
      <c r="Z2" s="5" t="s">
        <v>98</v>
      </c>
      <c r="AA2" s="5" t="s">
        <v>105</v>
      </c>
      <c r="AB2" s="5" t="s">
        <v>57</v>
      </c>
      <c r="AC2" s="5" t="s">
        <v>67</v>
      </c>
      <c r="AD2" s="13" t="s">
        <v>144</v>
      </c>
      <c r="AE2" s="5" t="s">
        <v>146</v>
      </c>
      <c r="AF2" s="5" t="s">
        <v>59</v>
      </c>
      <c r="AG2" s="5" t="s">
        <v>58</v>
      </c>
      <c r="AH2" s="5" t="s">
        <v>66</v>
      </c>
      <c r="AI2" s="5" t="s">
        <v>108</v>
      </c>
      <c r="AJ2" s="5" t="s">
        <v>109</v>
      </c>
      <c r="AK2" s="5" t="s">
        <v>56</v>
      </c>
      <c r="AL2" s="5" t="s">
        <v>88</v>
      </c>
      <c r="AM2" s="5" t="s">
        <v>100</v>
      </c>
      <c r="AN2" s="5" t="s">
        <v>98</v>
      </c>
      <c r="AO2" s="5" t="s">
        <v>105</v>
      </c>
      <c r="AP2" s="5" t="s">
        <v>57</v>
      </c>
      <c r="AQ2" s="6" t="s">
        <v>67</v>
      </c>
      <c r="AR2" s="13" t="s">
        <v>113</v>
      </c>
      <c r="AS2" s="5" t="s">
        <v>147</v>
      </c>
      <c r="AT2" s="5" t="s">
        <v>59</v>
      </c>
      <c r="AU2" s="5" t="s">
        <v>58</v>
      </c>
      <c r="AV2" s="5" t="s">
        <v>66</v>
      </c>
      <c r="AW2" s="5" t="s">
        <v>108</v>
      </c>
      <c r="AX2" s="5" t="s">
        <v>109</v>
      </c>
      <c r="AY2" s="5" t="s">
        <v>56</v>
      </c>
      <c r="AZ2" s="5" t="s">
        <v>88</v>
      </c>
      <c r="BA2" s="5" t="s">
        <v>100</v>
      </c>
      <c r="BB2" s="5" t="s">
        <v>98</v>
      </c>
      <c r="BC2" s="5" t="s">
        <v>105</v>
      </c>
      <c r="BD2" s="5" t="s">
        <v>57</v>
      </c>
      <c r="BE2" s="6" t="s">
        <v>67</v>
      </c>
      <c r="BF2" s="13" t="s">
        <v>149</v>
      </c>
      <c r="BG2" s="5" t="s">
        <v>148</v>
      </c>
      <c r="BH2" s="5" t="s">
        <v>59</v>
      </c>
      <c r="BI2" s="5" t="s">
        <v>58</v>
      </c>
      <c r="BJ2" s="5" t="s">
        <v>66</v>
      </c>
      <c r="BK2" s="5" t="s">
        <v>108</v>
      </c>
      <c r="BL2" s="5" t="s">
        <v>109</v>
      </c>
      <c r="BM2" s="5" t="s">
        <v>56</v>
      </c>
      <c r="BN2" s="5" t="s">
        <v>88</v>
      </c>
      <c r="BO2" s="5" t="s">
        <v>100</v>
      </c>
      <c r="BP2" s="5" t="s">
        <v>98</v>
      </c>
      <c r="BQ2" s="5" t="s">
        <v>105</v>
      </c>
      <c r="BR2" s="5" t="s">
        <v>57</v>
      </c>
      <c r="BS2" s="6" t="s">
        <v>67</v>
      </c>
      <c r="BT2" s="13" t="s">
        <v>151</v>
      </c>
      <c r="BU2" s="5" t="s">
        <v>150</v>
      </c>
      <c r="BV2" s="5" t="s">
        <v>59</v>
      </c>
      <c r="BW2" s="5" t="s">
        <v>58</v>
      </c>
      <c r="BX2" s="5" t="s">
        <v>66</v>
      </c>
      <c r="BY2" s="5" t="s">
        <v>108</v>
      </c>
      <c r="BZ2" s="5" t="s">
        <v>109</v>
      </c>
      <c r="CA2" s="5" t="s">
        <v>56</v>
      </c>
      <c r="CB2" s="5" t="s">
        <v>88</v>
      </c>
      <c r="CC2" s="5" t="s">
        <v>100</v>
      </c>
      <c r="CD2" s="5" t="s">
        <v>98</v>
      </c>
      <c r="CE2" s="5" t="s">
        <v>105</v>
      </c>
      <c r="CF2" s="5" t="s">
        <v>57</v>
      </c>
      <c r="CG2" s="6" t="s">
        <v>67</v>
      </c>
    </row>
    <row r="3" spans="1:85" x14ac:dyDescent="0.25">
      <c r="A3" t="s">
        <v>3</v>
      </c>
      <c r="B3" s="3">
        <f>Variables!E3*Variables!F3/1000</f>
        <v>16.8</v>
      </c>
      <c r="C3" s="3">
        <f>Results!B3+2*Variables!G3+Variables!H3</f>
        <v>18.8</v>
      </c>
      <c r="D3" s="3">
        <f>Variables!I3*Variables!J3/1000</f>
        <v>20</v>
      </c>
      <c r="E3" s="3">
        <f>Results!D3+2*Variables!K3+Variables!L3</f>
        <v>20.2</v>
      </c>
      <c r="F3" s="3">
        <f>C3*Variables!M3+(Variables!M3-1)*Variables!O3</f>
        <v>18.8</v>
      </c>
      <c r="G3" s="3">
        <f>E3*Variables!N3+(Variables!N3-1)*Variables!P3</f>
        <v>40.5</v>
      </c>
      <c r="H3" s="3">
        <f>(Variables!M3*Variables!E3-Variables!Q3)*Variables!F3/1000+((Variables!M3-1)*Variables!O3)</f>
        <v>16.399999999999999</v>
      </c>
      <c r="I3" s="3">
        <f>G3+Variables!R3</f>
        <v>40.700000000000003</v>
      </c>
      <c r="J3" s="14">
        <f>IF(H3&gt;0,ROUNDUP(2*PI()*Variables!B3*10/H3,0),0)</f>
        <v>15</v>
      </c>
      <c r="K3" s="7">
        <f>IF(I3&gt;0,ROUNDUP(Variables!C3*10/Results!I3,0),0)</f>
        <v>12</v>
      </c>
      <c r="L3" s="7">
        <f>J3*K3*2</f>
        <v>360</v>
      </c>
      <c r="M3" s="7">
        <f>2*PI()*2*Variables!B3*Variables!C3/10000</f>
        <v>0.22372537923274355</v>
      </c>
      <c r="N3" s="7">
        <f>Variables!M3*Variables!N3*B3*D3/1000000*L3</f>
        <v>0.24192</v>
      </c>
      <c r="O3" s="8">
        <f>IF(M3&gt;0,ROUND((N3/M3-1)*100,1),0)</f>
        <v>8.1</v>
      </c>
      <c r="P3" s="14">
        <f>IF(Variables!V3&gt;0,ROUNDUP($K3*Variables!U3/Variables!V3,0),0)</f>
        <v>12</v>
      </c>
      <c r="Q3" s="7">
        <f>P3*$J3*2</f>
        <v>360</v>
      </c>
      <c r="R3" s="7">
        <f t="array" ref="R3">IF(Variables!Z3&gt;0,ROUNDUP($K3/Variables!Z3,0)*$I3/2/10+SUM($I3/10*IF(INT((ROW(COUNTUP)+1)/Variables!Z3)=((ROW(COUNTUP)+1)/Variables!Z3),IF(ROW(COUNTUP)&lt;$K3,ROW(COUNTUP),0),0)),0)</f>
        <v>293.04000000000002</v>
      </c>
      <c r="S3" s="7">
        <f>R3*2*$J3/100</f>
        <v>87.912000000000006</v>
      </c>
      <c r="T3" s="7">
        <f>S3*2</f>
        <v>175.82400000000001</v>
      </c>
      <c r="U3" s="7">
        <f>IF(P3&gt;0,VLOOKUP(Variables!AE3,[0]!WIRE,VLOOKUP(Variables!AF3,[0]!MAT,3))*Variables!$C3/100,0)</f>
        <v>0.10040627098586496</v>
      </c>
      <c r="V3" s="7">
        <f>IF(P3&gt;0,VLOOKUP(Variables!AE3,[0]!WIRE,4)/100*2*R3*2*VLOOKUP(Variables!AF3,[0]!MAT,4),0)</f>
        <v>8.4805566964305754</v>
      </c>
      <c r="W3" s="7">
        <f>(Variables!$W3-Variables!$C3)+(Variables!$X3-Variables!$B3)+(2*Variables!$Y3)</f>
        <v>335.45000000000005</v>
      </c>
      <c r="X3" s="7">
        <f>IF(P3&gt;0,VLOOKUP(Variables!AE3,[0]!WIRE,VLOOKUP(Variables!AF3,[0]!MAT,3))*W3/100,0)</f>
        <v>0.73781563203085232</v>
      </c>
      <c r="Y3" s="7">
        <f>IF(P3&gt;0,(((VLOOKUP(Variables!AE3,[0]!WIRE,2))+Variables!AG3*2)*2)^2*Q3,0)</f>
        <v>255.22704000000004</v>
      </c>
      <c r="Z3" s="7">
        <f>IF(P3&gt;0,VLOOKUP(Variables!AE3,[0]!WIRE,4)/100*2*Q3*W3*VLOOKUP(Variables!AF3,[0]!MAT,4)/1000,0)</f>
        <v>1.7474218328118158</v>
      </c>
      <c r="AA3" s="7">
        <f>IF(P3&gt;0,(VLOOKUP(Variables!AE3,[0]!WIRE,2)+Variables!AG3)*PI()/10*Variables!AG3/10*W3*Q3*VLOOKUP("PI",[0]!MAT,4)/1000,0)</f>
        <v>9.9933806019562643E-2</v>
      </c>
      <c r="AB3" s="7">
        <f t="shared" ref="AB3:AB8" si="0">W3*Q3/100/1000</f>
        <v>1.2076200000000001</v>
      </c>
      <c r="AC3" s="7">
        <f>AB3*2</f>
        <v>2.4152400000000003</v>
      </c>
      <c r="AD3" s="14">
        <f>IF(Variables!AA3&gt;0,ROUNDUP($K3/Variables!AA3,0),0)</f>
        <v>1</v>
      </c>
      <c r="AE3" s="7">
        <f>AD3*$J3*2</f>
        <v>30</v>
      </c>
      <c r="AF3" s="7">
        <f t="array" ref="AF3">IF(Variables!AA3&gt;0,ROUNDUP($K3/Variables!AA3,0)*$I3/2/10+SUM($I3/10*IF(INT((ROW(COUNTUP)+1)/Variables!AA3)=((ROW(COUNTUP)+1)/Variables!AA3),IF(ROW(COUNTUP)&lt;$K3,ROW(COUNTUP),0),0)),0)</f>
        <v>46.805000000000007</v>
      </c>
      <c r="AG3" s="7">
        <f>AF3*2*$J3/100</f>
        <v>14.041500000000001</v>
      </c>
      <c r="AH3" s="7">
        <f>AG3*2</f>
        <v>28.083000000000002</v>
      </c>
      <c r="AI3" s="7">
        <f>IF(AD3&gt;0,VLOOKUP(Variables!AH3,[0]!WIRE,VLOOKUP(Variables!AI3,[0]!MAT,3))*Variables!$C3/100,0)</f>
        <v>0.64145096215850406</v>
      </c>
      <c r="AJ3" s="7">
        <f>IF(AD3&gt;0,VLOOKUP(Variables!AH3,[0]!WIRE,4)/100*2*AF3*2*VLOOKUP(Variables!AI3,[0]!MAT,4),0)</f>
        <v>0.21202500541887595</v>
      </c>
      <c r="AK3" s="7">
        <f>(Variables!$W3-Variables!$C3)+(Variables!$X3-Variables!$B3)+(2*Variables!$Y3)</f>
        <v>335.45000000000005</v>
      </c>
      <c r="AL3" s="7">
        <f>IF(AD3&gt;0,VLOOKUP(Variables!AH3,[0]!WIRE,VLOOKUP(Variables!AI3,[0]!MAT,3))*AK3/100,0)</f>
        <v>4.7135755806368058</v>
      </c>
      <c r="AM3" s="7">
        <f>IF(AD3&gt;0,(((VLOOKUP(Variables!AH3,[0]!WIRE,2))+Variables!AJ3*2)*2)^2*AE3,0)</f>
        <v>6.1834800000000003</v>
      </c>
      <c r="AN3" s="7">
        <f>IF(AD3&gt;0,VLOOKUP(Variables!AH3,[0]!WIRE,4)/100*2*AE3*AK3*VLOOKUP(Variables!AI3,[0]!MAT,4)/1000,0)</f>
        <v>2.2793650700062583E-2</v>
      </c>
      <c r="AO3" s="7">
        <f>IF(AD3&gt;0,(VLOOKUP(Variables!AH3,[0]!WIRE,2)+Variables!AJ3)*PI()/10*Variables!AJ3/10*AK3*AE3*VLOOKUP("PI",[0]!MAT,4)/1000,0)</f>
        <v>3.9731095385136094E-3</v>
      </c>
      <c r="AP3" s="7">
        <f t="shared" ref="AP3:AP8" si="1">AK3*AE3/100/1000</f>
        <v>0.10063500000000002</v>
      </c>
      <c r="AQ3" s="8">
        <f>AP3*2</f>
        <v>0.20127000000000003</v>
      </c>
      <c r="AR3" s="14">
        <f>IF(Variables!AB3&gt;0,ROUNDUP($K3/Variables!AB3,0),0)</f>
        <v>1</v>
      </c>
      <c r="AS3" s="7">
        <f>AR3*$J3*2</f>
        <v>30</v>
      </c>
      <c r="AT3" s="7">
        <f t="array" ref="AT3">IF(Variables!AB3&gt;0,ROUNDUP($K3/Variables!AB3,0)*$I3/2/10+SUM($I3/10*IF(INT((ROW(COUNTUP)+1)/Variables!AB3)=((ROW(COUNTUP)+1)/Variables!AB3),IF(ROW(COUNTUP)&lt;$K3,ROW(COUNTUP),0),0)),0)</f>
        <v>46.805000000000007</v>
      </c>
      <c r="AU3" s="7">
        <f>AT3*2*$J3/100</f>
        <v>14.041500000000001</v>
      </c>
      <c r="AV3" s="7">
        <f>AU3*2</f>
        <v>28.083000000000002</v>
      </c>
      <c r="AW3" s="7">
        <f>IF(AR3&gt;0,VLOOKUP(Variables!AK3,[0]!WIRE,VLOOKUP(Variables!AL3,[0]!MAT,3))*Variables!$C3/100,0)</f>
        <v>0.25355265583409742</v>
      </c>
      <c r="AX3" s="7">
        <f>IF(AR3&gt;0,VLOOKUP(Variables!AK3,[0]!WIRE,4)/100*2*AT3*2*VLOOKUP(Variables!AL3,[0]!MAT,4),0)</f>
        <v>0.53639210869315002</v>
      </c>
      <c r="AY3" s="7">
        <f>(Variables!$W3-Variables!$C3)+(Variables!$X3-Variables!$B3)+(2*Variables!$Y3)</f>
        <v>335.45000000000005</v>
      </c>
      <c r="AZ3" s="7">
        <f>IF(AR3&gt;0,VLOOKUP(Variables!AK3,[0]!WIRE,VLOOKUP(Variables!AL3,[0]!MAT,3))*AY3/100,0)</f>
        <v>1.8631815640645781</v>
      </c>
      <c r="BA3" s="7">
        <f>IF(AR3&gt;0,(((VLOOKUP(Variables!AK3,[0]!WIRE,2))+Variables!AM3*2)*2)^2*AS3,0)</f>
        <v>19.392480000000003</v>
      </c>
      <c r="BB3" s="7">
        <f>IF(AR3&gt;0,VLOOKUP(Variables!AK3,[0]!WIRE,4)/100*2*AS3*AY3*VLOOKUP(Variables!AL3,[0]!MAT,4)/1000,0)</f>
        <v>5.7664586965425854E-2</v>
      </c>
      <c r="BC3" s="7">
        <f>IF(AR3&gt;0,(VLOOKUP(Variables!AK3,[0]!WIRE,2)+Variables!AM3)*PI()/10*Variables!AM3/10*AY3*AS3*VLOOKUP("PI",[0]!MAT,4)/1000,0)</f>
        <v>1.3557955713345881E-2</v>
      </c>
      <c r="BD3" s="7">
        <f t="shared" ref="BD3:BD8" si="2">AY3*AS3/100/1000</f>
        <v>0.10063500000000002</v>
      </c>
      <c r="BE3" s="8">
        <f>BD3*2</f>
        <v>0.20127000000000003</v>
      </c>
      <c r="BF3" s="14">
        <f>IF(Variables!AC3&gt;0,ROUNDUP($K3/Variables!AC3,0),0)</f>
        <v>1</v>
      </c>
      <c r="BG3" s="7">
        <f>BF3*$J3*2</f>
        <v>30</v>
      </c>
      <c r="BH3" s="7">
        <f t="array" ref="BH3">IF(Variables!AC3&gt;0,ROUNDUP($K3/Variables!AC3,0)*$I3/2/10+SUM($I3/10*IF(INT((ROW(COUNTUP)+1)/Variables!AC3)=((ROW(COUNTUP)+1)/Variables!AC3),IF(ROW(COUNTUP)&lt;$K3,ROW(COUNTUP),0),0)),0)</f>
        <v>46.805000000000007</v>
      </c>
      <c r="BI3" s="7">
        <f>BH3*2*$J3/100</f>
        <v>14.041500000000001</v>
      </c>
      <c r="BJ3" s="7">
        <f>BI3*2</f>
        <v>28.083000000000002</v>
      </c>
      <c r="BK3" s="7">
        <f>IF(BF3&gt;0,VLOOKUP(Variables!AN3,[0]!WIRE,VLOOKUP(Variables!AO3,[0]!MAT,3))*Variables!$C3/100,0)</f>
        <v>0.25355265583409742</v>
      </c>
      <c r="BL3" s="7">
        <f>IF(BF3&gt;0,VLOOKUP(Variables!AN3,[0]!WIRE,4)/100*2*BH3*2*VLOOKUP(Variables!AO3,[0]!MAT,4),0)</f>
        <v>0.53639210869315002</v>
      </c>
      <c r="BM3" s="7">
        <f>(Variables!$W3-Variables!$C3)+(Variables!$X3-Variables!$B3)+(2*Variables!$Y3)</f>
        <v>335.45000000000005</v>
      </c>
      <c r="BN3" s="7">
        <f>IF(BF3&gt;0,VLOOKUP(Variables!AN3,[0]!WIRE,VLOOKUP(Variables!AO3,[0]!MAT,3))*BM3/100,0)</f>
        <v>1.8631815640645781</v>
      </c>
      <c r="BO3" s="7">
        <f>IF(BF3&gt;0,(((VLOOKUP(Variables!AN3,[0]!WIRE,2))+Variables!AP3*2)*2)^2*BG3,0)</f>
        <v>10.944480000000002</v>
      </c>
      <c r="BP3" s="7">
        <f>IF(BF3&gt;0,VLOOKUP(Variables!AN3,[0]!WIRE,4)/100*2*BG3*BM3*VLOOKUP(Variables!AO3,[0]!MAT,4)/1000,0)</f>
        <v>5.7664586965425854E-2</v>
      </c>
      <c r="BQ3" s="7">
        <f>IF(BF3&gt;0,(VLOOKUP(Variables!AN3,[0]!WIRE,2)+Variables!AP3)*PI()/10*Variables!AP3/10*BM3*BG3*VLOOKUP("PI",[0]!MAT,4)/1000,0)</f>
        <v>5.6566305294092059E-3</v>
      </c>
      <c r="BR3" s="7">
        <f t="shared" ref="BR3:BR8" si="3">BM3*BG3/100/1000</f>
        <v>0.10063500000000002</v>
      </c>
      <c r="BS3" s="8">
        <f>BR3*2</f>
        <v>0.20127000000000003</v>
      </c>
      <c r="BT3" s="14">
        <f>IF(Variables!AD3&gt;0,ROUNDUP($K3/Variables!AD3,0),0)</f>
        <v>1</v>
      </c>
      <c r="BU3" s="7">
        <f>BT3*$J3*2</f>
        <v>30</v>
      </c>
      <c r="BV3" s="7">
        <f t="array" ref="BV3">IF(Variables!AD3&gt;0,ROUNDUP($K3/Variables!AD3,0)*$I3/2/10+SUM($I3/10*IF(INT((ROW(COUNTUP)+1)/Variables!AD3)=((ROW(COUNTUP)+1)/Variables!AD3),IF(ROW(COUNTUP)&lt;$K3,ROW(COUNTUP),0),0)),0)</f>
        <v>46.805000000000007</v>
      </c>
      <c r="BW3" s="7">
        <f>BV3*2*$J3/100</f>
        <v>14.041500000000001</v>
      </c>
      <c r="BX3" s="7">
        <f>BW3*2</f>
        <v>28.083000000000002</v>
      </c>
      <c r="BY3" s="7">
        <f>IF(BT3&gt;0,VLOOKUP(Variables!AQ3,[0]!WIRE,VLOOKUP(Variables!AR3,[0]!MAT,3))*Variables!$C3/100,0)</f>
        <v>3.8399867745992362E-2</v>
      </c>
      <c r="BZ3" s="7">
        <f>IF(BT3&gt;0,VLOOKUP(Variables!AQ3,[0]!WIRE,4)/100*2*BV3*2*VLOOKUP(Variables!AR3,[0]!MAT,4),0)</f>
        <v>2.0325871266368072</v>
      </c>
      <c r="CA3" s="7">
        <f>(Variables!$W3-Variables!$C3)+(Variables!$X3-Variables!$B3)+(2*Variables!$Y3)</f>
        <v>335.45000000000005</v>
      </c>
      <c r="CB3" s="7">
        <f>IF(BT3&gt;0,VLOOKUP(Variables!AQ3,[0]!WIRE,VLOOKUP(Variables!AR3,[0]!MAT,3))*CA3/100,0)</f>
        <v>0.28217383648177741</v>
      </c>
      <c r="CC3" s="7">
        <f>IF(BT3&gt;0,(((VLOOKUP(Variables!AQ3,[0]!WIRE,2))+Variables!AS3*2)*2)^2*BU3,0)</f>
        <v>66.424320000000009</v>
      </c>
      <c r="CD3" s="7">
        <f>IF(BT3&gt;0,VLOOKUP(Variables!AQ3,[0]!WIRE,4)/100*2*BU3*CA3*VLOOKUP(Variables!AR3,[0]!MAT,4)/1000,0)</f>
        <v>0.21851234428917327</v>
      </c>
      <c r="CE3" s="7">
        <f>IF(BT3&gt;0,(VLOOKUP(Variables!AQ3,[0]!WIRE,2)+Variables!AS3)*PI()/10*Variables!AS3/10*CA3*BU3*VLOOKUP("PI",[0]!MAT,4)/1000,0)</f>
        <v>1.5578180902420595E-2</v>
      </c>
      <c r="CF3" s="7">
        <f t="shared" ref="CF3:CF8" si="4">CA3*BU3/100/1000</f>
        <v>0.10063500000000002</v>
      </c>
      <c r="CG3" s="8">
        <f>CF3*2</f>
        <v>0.20127000000000003</v>
      </c>
    </row>
    <row r="4" spans="1:85" x14ac:dyDescent="0.25">
      <c r="A4" t="s">
        <v>4</v>
      </c>
      <c r="B4" s="3">
        <f>Variables!E4*Variables!F4/1000</f>
        <v>16.8</v>
      </c>
      <c r="C4" s="3">
        <f>Results!B4+2*Variables!G4+Variables!H4</f>
        <v>18.8</v>
      </c>
      <c r="D4" s="3">
        <f>Variables!I4*Variables!J4/1000</f>
        <v>20</v>
      </c>
      <c r="E4" s="3">
        <f>Results!D4+2*Variables!K4+Variables!L4</f>
        <v>20.2</v>
      </c>
      <c r="F4" s="3">
        <f>C4*Variables!M4+(Variables!M4-1)*Variables!O4</f>
        <v>37.700000000000003</v>
      </c>
      <c r="G4" s="3">
        <f>E4*Variables!N4+(Variables!N4-1)*Variables!P4</f>
        <v>40.5</v>
      </c>
      <c r="H4" s="3">
        <f>(Variables!M4*Variables!E4-Variables!Q4)*Variables!F4/1000+((Variables!M4-1)*Variables!O4)</f>
        <v>33.300000000000004</v>
      </c>
      <c r="I4" s="3">
        <f>G4+Variables!R4</f>
        <v>40.700000000000003</v>
      </c>
      <c r="J4" s="14">
        <f>IF(H4&gt;0,ROUNDUP(2*PI()*Variables!B4*10/H4,0),0)</f>
        <v>15</v>
      </c>
      <c r="K4" s="7">
        <f>IF(I4&gt;0,ROUNDUP(Variables!C4*10/Results!I4,0),0)</f>
        <v>19</v>
      </c>
      <c r="L4" s="7">
        <f t="shared" ref="L4:L6" si="5">J4*K4*2</f>
        <v>570</v>
      </c>
      <c r="M4" s="7">
        <f>2*PI()*2*Variables!B4*Variables!C4/10000</f>
        <v>0.70403091366947268</v>
      </c>
      <c r="N4" s="7">
        <f>Variables!M4*Variables!N4*B4*D4/1000000*L4</f>
        <v>0.76607999999999998</v>
      </c>
      <c r="O4" s="8">
        <f t="shared" ref="O4:O8" si="6">IF(M4&gt;0,ROUND((N4/M4-1)*100,1),0)</f>
        <v>8.8000000000000007</v>
      </c>
      <c r="P4" s="14">
        <f>IF(Variables!V4&gt;0,ROUNDUP($K4*Variables!U4/Variables!V4,0),0)</f>
        <v>19</v>
      </c>
      <c r="Q4" s="7">
        <f t="shared" ref="Q4:Q8" si="7">P4*$J4*2</f>
        <v>570</v>
      </c>
      <c r="R4" s="7">
        <f t="array" ref="R4">IF(Variables!Z4&gt;0,ROUNDUP($K4/Variables!Z4,0)*$I4/2/10+SUM($I4/10*IF(INT((ROW(COUNTUP)+1)/Variables!Z4)=((ROW(COUNTUP)+1)/Variables!Z4),IF(ROW(COUNTUP)&lt;$K4,ROW(COUNTUP),0),0)),0)</f>
        <v>734.63499999999999</v>
      </c>
      <c r="S4" s="7">
        <f t="shared" ref="S4:S8" si="8">R4*2*$J4/100</f>
        <v>220.3905</v>
      </c>
      <c r="T4" s="7">
        <f t="shared" ref="T4:T8" si="9">S4*2</f>
        <v>440.78100000000001</v>
      </c>
      <c r="U4" s="7">
        <f>IF(P4&gt;0,VLOOKUP(Variables!AE4,[0]!WIRE,VLOOKUP(Variables!AF4,[0]!MAT,3))*Variables!$C4/100,0)</f>
        <v>0.16430117070414266</v>
      </c>
      <c r="V4" s="7">
        <f>IF(P4&gt;0,VLOOKUP(Variables!AE4,[0]!WIRE,4)/100*2*R4*2*VLOOKUP(Variables!AF4,[0]!MAT,4),0)</f>
        <v>21.26028449591276</v>
      </c>
      <c r="W4" s="7">
        <f>(Variables!$W4-Variables!$C4)+(Variables!$X4-Variables!$B4)+(2*Variables!$Y4)</f>
        <v>302.8</v>
      </c>
      <c r="X4" s="7">
        <f>IF(P4&gt;0,VLOOKUP(Variables!AE4,[0]!WIRE,VLOOKUP(Variables!AF4,[0]!MAT,3))*W4/100,0)</f>
        <v>0.66600260360394103</v>
      </c>
      <c r="Y4" s="7">
        <f>IF(P4&gt;0,(((VLOOKUP(Variables!AE4,[0]!WIRE,2))+Variables!AG4*2)*2)^2*Q4,0)</f>
        <v>404.10948000000008</v>
      </c>
      <c r="Z4" s="7">
        <f>IF(P4&gt;0,VLOOKUP(Variables!AE4,[0]!WIRE,4)/100*2*Q4*W4*VLOOKUP(Variables!AF4,[0]!MAT,4)/1000,0)</f>
        <v>2.4974579640614443</v>
      </c>
      <c r="AA4" s="7">
        <f>IF(P4&gt;0,(VLOOKUP(Variables!AE4,[0]!WIRE,2)+Variables!AG4)*PI()/10*Variables!AG4/10*W4*Q4*VLOOKUP("PI",[0]!MAT,4)/1000,0)</f>
        <v>0.14282783643656474</v>
      </c>
      <c r="AB4" s="7">
        <f t="shared" si="0"/>
        <v>1.7259599999999999</v>
      </c>
      <c r="AC4" s="7">
        <f t="shared" ref="AC4:AC8" si="10">AB4*2</f>
        <v>3.4519199999999999</v>
      </c>
      <c r="AD4" s="14">
        <f>IF(Variables!AA4&gt;0,ROUNDUP($K4/Variables!AA4,0),0)</f>
        <v>1</v>
      </c>
      <c r="AE4" s="7">
        <f t="shared" ref="AE4:AE8" si="11">AD4*$J4*2</f>
        <v>30</v>
      </c>
      <c r="AF4" s="7">
        <f t="array" ref="AF4">IF(Variables!AA4&gt;0,ROUNDUP($K4/Variables!AA4,0)*$I4/2/10+SUM($I4/10*IF(INT((ROW(COUNTUP)+1)/Variables!AA4)=((ROW(COUNTUP)+1)/Variables!AA4),IF(ROW(COUNTUP)&lt;$K4,ROW(COUNTUP),0),0)),0)</f>
        <v>75.295000000000002</v>
      </c>
      <c r="AG4" s="7">
        <f t="shared" ref="AG4:AG8" si="12">AF4*2*$J4/100</f>
        <v>22.5885</v>
      </c>
      <c r="AH4" s="7">
        <f t="shared" ref="AH4:AH8" si="13">AG4*2</f>
        <v>45.177</v>
      </c>
      <c r="AI4" s="7">
        <f>IF(AD4&gt;0,VLOOKUP(Variables!AH4,[0]!WIRE,VLOOKUP(Variables!AI4,[0]!MAT,3))*Variables!$C4/100,0)</f>
        <v>1.0496470289866429</v>
      </c>
      <c r="AJ4" s="7">
        <f>IF(AD4&gt;0,VLOOKUP(Variables!AH4,[0]!WIRE,4)/100*2*AF4*2*VLOOKUP(Variables!AI4,[0]!MAT,4),0)</f>
        <v>0.34108370436949614</v>
      </c>
      <c r="AK4" s="7">
        <f>(Variables!$W4-Variables!$C4)+(Variables!$X4-Variables!$B4)+(2*Variables!$Y4)</f>
        <v>302.8</v>
      </c>
      <c r="AL4" s="7">
        <f>IF(AD4&gt;0,VLOOKUP(Variables!AH4,[0]!WIRE,VLOOKUP(Variables!AI4,[0]!MAT,3))*AK4/100,0)</f>
        <v>4.2547941148213582</v>
      </c>
      <c r="AM4" s="7">
        <f>IF(AD4&gt;0,(((VLOOKUP(Variables!AH4,[0]!WIRE,2))+Variables!AJ4*2)*2)^2*AE4,0)</f>
        <v>6.1834800000000003</v>
      </c>
      <c r="AN4" s="7">
        <f>IF(AD4&gt;0,VLOOKUP(Variables!AH4,[0]!WIRE,4)/100*2*AE4*AK4*VLOOKUP(Variables!AI4,[0]!MAT,4)/1000,0)</f>
        <v>2.0575100408343865E-2</v>
      </c>
      <c r="AO4" s="7">
        <f>IF(AD4&gt;0,(VLOOKUP(Variables!AH4,[0]!WIRE,2)+Variables!AJ4)*PI()/10*Variables!AJ4/10*AK4*AE4*VLOOKUP("PI",[0]!MAT,4)/1000,0)</f>
        <v>3.5863990706869004E-3</v>
      </c>
      <c r="AP4" s="7">
        <f t="shared" si="1"/>
        <v>9.0840000000000004E-2</v>
      </c>
      <c r="AQ4" s="8">
        <f t="shared" ref="AQ4:AQ8" si="14">AP4*2</f>
        <v>0.18168000000000001</v>
      </c>
      <c r="AR4" s="14">
        <f>IF(Variables!AB4&gt;0,ROUNDUP($K4/Variables!AB4,0),0)</f>
        <v>1</v>
      </c>
      <c r="AS4" s="7">
        <f t="shared" ref="AS4:AS8" si="15">AR4*$J4*2</f>
        <v>30</v>
      </c>
      <c r="AT4" s="7">
        <f t="array" ref="AT4">IF(Variables!AB4&gt;0,ROUNDUP($K4/Variables!AB4,0)*$I4/2/10+SUM($I4/10*IF(INT((ROW(COUNTUP)+1)/Variables!AB4)=((ROW(COUNTUP)+1)/Variables!AB4),IF(ROW(COUNTUP)&lt;$K4,ROW(COUNTUP),0),0)),0)</f>
        <v>75.295000000000002</v>
      </c>
      <c r="AU4" s="7">
        <f t="shared" ref="AU4:AU8" si="16">AT4*2*$J4/100</f>
        <v>22.5885</v>
      </c>
      <c r="AV4" s="7">
        <f t="shared" ref="AV4:AV8" si="17">AU4*2</f>
        <v>45.177</v>
      </c>
      <c r="AW4" s="7">
        <f>IF(AR4&gt;0,VLOOKUP(Variables!AK4,[0]!WIRE,VLOOKUP(Variables!AL4,[0]!MAT,3))*Variables!$C4/100,0)</f>
        <v>0.41490434591034125</v>
      </c>
      <c r="AX4" s="7">
        <f>IF(AR4&gt;0,VLOOKUP(Variables!AK4,[0]!WIRE,4)/100*2*AT4*2*VLOOKUP(Variables!AL4,[0]!MAT,4),0)</f>
        <v>0.86289165311506721</v>
      </c>
      <c r="AY4" s="7">
        <f>(Variables!$W4-Variables!$C4)+(Variables!$X4-Variables!$B4)+(2*Variables!$Y4)</f>
        <v>302.8</v>
      </c>
      <c r="AZ4" s="7">
        <f>IF(AR4&gt;0,VLOOKUP(Variables!AK4,[0]!WIRE,VLOOKUP(Variables!AL4,[0]!MAT,3))*AY4/100,0)</f>
        <v>1.68183448382398</v>
      </c>
      <c r="BA4" s="7">
        <f>IF(AR4&gt;0,(((VLOOKUP(Variables!AK4,[0]!WIRE,2))+Variables!AM4*2)*2)^2*AS4,0)</f>
        <v>19.392480000000003</v>
      </c>
      <c r="BB4" s="7">
        <f>IF(AR4&gt;0,VLOOKUP(Variables!AK4,[0]!WIRE,4)/100*2*AS4*AY4*VLOOKUP(Variables!AL4,[0]!MAT,4)/1000,0)</f>
        <v>5.2051980721809353E-2</v>
      </c>
      <c r="BC4" s="7">
        <f>IF(AR4&gt;0,(VLOOKUP(Variables!AK4,[0]!WIRE,2)+Variables!AM4)*PI()/10*Variables!AM4/10*AY4*AS4*VLOOKUP("PI",[0]!MAT,4)/1000,0)</f>
        <v>1.2238333551948524E-2</v>
      </c>
      <c r="BD4" s="7">
        <f t="shared" si="2"/>
        <v>9.0840000000000004E-2</v>
      </c>
      <c r="BE4" s="8">
        <f t="shared" ref="BE4:BE8" si="18">BD4*2</f>
        <v>0.18168000000000001</v>
      </c>
      <c r="BF4" s="14">
        <f>IF(Variables!AC4&gt;0,ROUNDUP($K4/Variables!AC4,0),0)</f>
        <v>1</v>
      </c>
      <c r="BG4" s="7">
        <f t="shared" ref="BG4:BG8" si="19">BF4*$J4*2</f>
        <v>30</v>
      </c>
      <c r="BH4" s="7">
        <f t="array" ref="BH4">IF(Variables!AC4&gt;0,ROUNDUP($K4/Variables!AC4,0)*$I4/2/10+SUM($I4/10*IF(INT((ROW(COUNTUP)+1)/Variables!AC4)=((ROW(COUNTUP)+1)/Variables!AC4),IF(ROW(COUNTUP)&lt;$K4,ROW(COUNTUP),0),0)),0)</f>
        <v>75.295000000000002</v>
      </c>
      <c r="BI4" s="7">
        <f t="shared" ref="BI4:BI8" si="20">BH4*2*$J4/100</f>
        <v>22.5885</v>
      </c>
      <c r="BJ4" s="7">
        <f t="shared" ref="BJ4:BJ8" si="21">BI4*2</f>
        <v>45.177</v>
      </c>
      <c r="BK4" s="7">
        <f>IF(BF4&gt;0,VLOOKUP(Variables!AN4,[0]!WIRE,VLOOKUP(Variables!AO4,[0]!MAT,3))*Variables!$C4/100,0)</f>
        <v>0.41490434591034125</v>
      </c>
      <c r="BL4" s="7">
        <f>IF(BF4&gt;0,VLOOKUP(Variables!AN4,[0]!WIRE,4)/100*2*BH4*2*VLOOKUP(Variables!AO4,[0]!MAT,4),0)</f>
        <v>0.86289165311506721</v>
      </c>
      <c r="BM4" s="7">
        <f>(Variables!$W4-Variables!$C4)+(Variables!$X4-Variables!$B4)+(2*Variables!$Y4)</f>
        <v>302.8</v>
      </c>
      <c r="BN4" s="7">
        <f>IF(BF4&gt;0,VLOOKUP(Variables!AN4,[0]!WIRE,VLOOKUP(Variables!AO4,[0]!MAT,3))*BM4/100,0)</f>
        <v>1.68183448382398</v>
      </c>
      <c r="BO4" s="7">
        <f>IF(BF4&gt;0,(((VLOOKUP(Variables!AN4,[0]!WIRE,2))+Variables!AP4*2)*2)^2*BG4,0)</f>
        <v>10.944480000000002</v>
      </c>
      <c r="BP4" s="7">
        <f>IF(BF4&gt;0,VLOOKUP(Variables!AN4,[0]!WIRE,4)/100*2*BG4*BM4*VLOOKUP(Variables!AO4,[0]!MAT,4)/1000,0)</f>
        <v>5.2051980721809353E-2</v>
      </c>
      <c r="BQ4" s="7">
        <f>IF(BF4&gt;0,(VLOOKUP(Variables!AN4,[0]!WIRE,2)+Variables!AP4)*PI()/10*Variables!AP4/10*BM4*BG4*VLOOKUP("PI",[0]!MAT,4)/1000,0)</f>
        <v>5.106059693859316E-3</v>
      </c>
      <c r="BR4" s="7">
        <f t="shared" si="3"/>
        <v>9.0840000000000004E-2</v>
      </c>
      <c r="BS4" s="8">
        <f t="shared" ref="BS4:BS8" si="22">BR4*2</f>
        <v>0.18168000000000001</v>
      </c>
      <c r="BT4" s="14">
        <f>IF(Variables!AD4&gt;0,ROUNDUP($K4/Variables!AD4,0),0)</f>
        <v>1</v>
      </c>
      <c r="BU4" s="7">
        <f t="shared" ref="BU4:BU8" si="23">BT4*$J4*2</f>
        <v>30</v>
      </c>
      <c r="BV4" s="7">
        <f t="array" ref="BV4">IF(Variables!AD4&gt;0,ROUNDUP($K4/Variables!AD4,0)*$I4/2/10+SUM($I4/10*IF(INT((ROW(COUNTUP)+1)/Variables!AD4)=((ROW(COUNTUP)+1)/Variables!AD4),IF(ROW(COUNTUP)&lt;$K4,ROW(COUNTUP),0),0)),0)</f>
        <v>75.295000000000002</v>
      </c>
      <c r="BW4" s="7">
        <f t="shared" ref="BW4:BW8" si="24">BV4*2*$J4/100</f>
        <v>22.5885</v>
      </c>
      <c r="BX4" s="7">
        <f t="shared" ref="BX4:BX8" si="25">BW4*2</f>
        <v>45.177</v>
      </c>
      <c r="BY4" s="7">
        <f>IF(BT4&gt;0,VLOOKUP(Variables!AQ4,[0]!WIRE,VLOOKUP(Variables!AR4,[0]!MAT,3))*Variables!$C4/100,0)</f>
        <v>6.2836147220714775E-2</v>
      </c>
      <c r="BZ4" s="7">
        <f>IF(BT4&gt;0,VLOOKUP(Variables!AQ4,[0]!WIRE,4)/100*2*BV4*2*VLOOKUP(Variables!AR4,[0]!MAT,4),0)</f>
        <v>3.2698140732852981</v>
      </c>
      <c r="CA4" s="7">
        <f>(Variables!$W4-Variables!$C4)+(Variables!$X4-Variables!$B4)+(2*Variables!$Y4)</f>
        <v>302.8</v>
      </c>
      <c r="CB4" s="7">
        <f>IF(BT4&gt;0,VLOOKUP(Variables!AQ4,[0]!WIRE,VLOOKUP(Variables!AR4,[0]!MAT,3))*CA4/100,0)</f>
        <v>0.25470930894822535</v>
      </c>
      <c r="CC4" s="7">
        <f>IF(BT4&gt;0,(((VLOOKUP(Variables!AQ4,[0]!WIRE,2))+Variables!AS4*2)*2)^2*BU4,0)</f>
        <v>66.424320000000009</v>
      </c>
      <c r="CD4" s="7">
        <f>IF(BT4&gt;0,VLOOKUP(Variables!AQ4,[0]!WIRE,4)/100*2*BU4*CA4*VLOOKUP(Variables!AR4,[0]!MAT,4)/1000,0)</f>
        <v>0.19724411343199183</v>
      </c>
      <c r="CE4" s="7">
        <f>IF(BT4&gt;0,(VLOOKUP(Variables!AQ4,[0]!WIRE,2)+Variables!AS4)*PI()/10*Variables!AS4/10*CA4*BU4*VLOOKUP("PI",[0]!MAT,4)/1000,0)</f>
        <v>1.4061926299755421E-2</v>
      </c>
      <c r="CF4" s="7">
        <f t="shared" si="4"/>
        <v>9.0840000000000004E-2</v>
      </c>
      <c r="CG4" s="8">
        <f t="shared" ref="CG4:CG8" si="26">CF4*2</f>
        <v>0.18168000000000001</v>
      </c>
    </row>
    <row r="5" spans="1:85" x14ac:dyDescent="0.25">
      <c r="A5" t="s">
        <v>5</v>
      </c>
      <c r="B5" s="3">
        <f>Variables!E5*Variables!F5/1000</f>
        <v>16.8</v>
      </c>
      <c r="C5" s="3">
        <f>Results!B5+2*Variables!G5+Variables!H5</f>
        <v>18.8</v>
      </c>
      <c r="D5" s="3">
        <f>Variables!I5*Variables!J5/1000</f>
        <v>20</v>
      </c>
      <c r="E5" s="3">
        <f>Results!D5+2*Variables!K5+Variables!L5</f>
        <v>20.2</v>
      </c>
      <c r="F5" s="3">
        <f>C5*Variables!M5+(Variables!M5-1)*Variables!O5</f>
        <v>37.700000000000003</v>
      </c>
      <c r="G5" s="3">
        <f>E5*Variables!N5+(Variables!N5-1)*Variables!P5</f>
        <v>40.5</v>
      </c>
      <c r="H5" s="3">
        <f>(Variables!M5*Variables!E5-Variables!Q5)*Variables!F5/1000+((Variables!M5-1)*Variables!O5)</f>
        <v>33.300000000000004</v>
      </c>
      <c r="I5" s="3">
        <f>G5+Variables!R5</f>
        <v>40.700000000000003</v>
      </c>
      <c r="J5" s="14">
        <f>IF(H5&gt;0,ROUNDUP(2*PI()*Variables!B5*10/H5,0),0)</f>
        <v>31</v>
      </c>
      <c r="K5" s="7">
        <f>IF(I5&gt;0,ROUNDUP(Variables!C5*10/Results!I5,0),0)</f>
        <v>18</v>
      </c>
      <c r="L5" s="7">
        <f t="shared" si="5"/>
        <v>1116</v>
      </c>
      <c r="M5" s="7">
        <f>2*PI()*2*Variables!B5*Variables!C5/10000</f>
        <v>1.4532756288094097</v>
      </c>
      <c r="N5" s="7">
        <f>Variables!M5*Variables!N5*B5*D5/1000000*L5</f>
        <v>1.4999039999999999</v>
      </c>
      <c r="O5" s="8">
        <f t="shared" si="6"/>
        <v>3.2</v>
      </c>
      <c r="P5" s="14">
        <f>IF(Variables!V5&gt;0,ROUNDUP($K5*Variables!U5/Variables!V5,0),0)</f>
        <v>9</v>
      </c>
      <c r="Q5" s="7">
        <f t="shared" si="7"/>
        <v>558</v>
      </c>
      <c r="R5" s="7">
        <f t="array" ref="R5">IF(Variables!Z5&gt;0,ROUNDUP($K5/Variables!Z5,0)*$I5/2/10+SUM($I5/10*IF(INT((ROW(COUNTUP)+1)/Variables!Z5)=((ROW(COUNTUP)+1)/Variables!Z5),IF(ROW(COUNTUP)&lt;$K5,ROW(COUNTUP),0),0)),0)</f>
        <v>347.98500000000001</v>
      </c>
      <c r="S5" s="7">
        <f t="shared" si="8"/>
        <v>215.75069999999999</v>
      </c>
      <c r="T5" s="7">
        <f t="shared" si="9"/>
        <v>431.50139999999999</v>
      </c>
      <c r="U5" s="7">
        <f>IF(P5&gt;0,VLOOKUP(Variables!AE5,[0]!WIRE,VLOOKUP(Variables!AF5,[0]!MAT,3))*Variables!$C5/100,0)</f>
        <v>0.15897842862778355</v>
      </c>
      <c r="V5" s="7">
        <f>IF(P5&gt;0,VLOOKUP(Variables!AE5,[0]!WIRE,4)/100*2*R5*2*VLOOKUP(Variables!AF5,[0]!MAT,4),0)</f>
        <v>10.070661077011307</v>
      </c>
      <c r="W5" s="7">
        <f>(Variables!$W5-Variables!$C5)+(Variables!$X5-Variables!$B5)+(2*Variables!$Y5)</f>
        <v>296.72000000000003</v>
      </c>
      <c r="X5" s="7">
        <f>IF(P5&gt;0,VLOOKUP(Variables!AE5,[0]!WIRE,VLOOKUP(Variables!AF5,[0]!MAT,3))*W5/100,0)</f>
        <v>0.65262976400713812</v>
      </c>
      <c r="Y5" s="7">
        <f>IF(P5&gt;0,(((VLOOKUP(Variables!AE5,[0]!WIRE,2))+Variables!AG5*2)*2)^2*Q5,0)</f>
        <v>395.60191200000008</v>
      </c>
      <c r="Z5" s="7">
        <f>IF(P5&gt;0,VLOOKUP(Variables!AE5,[0]!WIRE,4)/100*2*Q5*W5*VLOOKUP(Variables!AF5,[0]!MAT,4)/1000,0)</f>
        <v>2.3957885218645969</v>
      </c>
      <c r="AA5" s="7">
        <f>IF(P5&gt;0,(VLOOKUP(Variables!AE5,[0]!WIRE,2)+Variables!AG5)*PI()/10*Variables!AG5/10*W5*Q5*VLOOKUP("PI",[0]!MAT,4)/1000,0)</f>
        <v>0.13701343368398622</v>
      </c>
      <c r="AB5" s="7">
        <f t="shared" si="0"/>
        <v>1.6556976000000001</v>
      </c>
      <c r="AC5" s="7">
        <f t="shared" si="10"/>
        <v>3.3113952000000002</v>
      </c>
      <c r="AD5" s="14">
        <f>IF(Variables!AA5&gt;0,ROUNDUP($K5/Variables!AA5,0),0)</f>
        <v>1</v>
      </c>
      <c r="AE5" s="7">
        <f t="shared" si="11"/>
        <v>62</v>
      </c>
      <c r="AF5" s="7">
        <f t="array" ref="AF5">IF(Variables!AA5&gt;0,ROUNDUP($K5/Variables!AA5,0)*$I5/2/10+SUM($I5/10*IF(INT((ROW(COUNTUP)+1)/Variables!AA5)=((ROW(COUNTUP)+1)/Variables!AA5),IF(ROW(COUNTUP)&lt;$K5,ROW(COUNTUP),0),0)),0)</f>
        <v>71.224999999999994</v>
      </c>
      <c r="AG5" s="7">
        <f t="shared" si="12"/>
        <v>44.159500000000001</v>
      </c>
      <c r="AH5" s="7">
        <f t="shared" si="13"/>
        <v>88.319000000000003</v>
      </c>
      <c r="AI5" s="7">
        <f>IF(AD5&gt;0,VLOOKUP(Variables!AH5,[0]!WIRE,VLOOKUP(Variables!AI5,[0]!MAT,3))*Variables!$C5/100,0)</f>
        <v>1.0156423996673969</v>
      </c>
      <c r="AJ5" s="7">
        <f>IF(AD5&gt;0,VLOOKUP(Variables!AH5,[0]!WIRE,4)/100*2*AF5*2*VLOOKUP(Variables!AI5,[0]!MAT,4),0)</f>
        <v>0.32264674737655036</v>
      </c>
      <c r="AK5" s="7">
        <f>(Variables!$W5-Variables!$C5)+(Variables!$X5-Variables!$B5)+(2*Variables!$Y5)</f>
        <v>296.72000000000003</v>
      </c>
      <c r="AL5" s="7">
        <f>IF(AD5&gt;0,VLOOKUP(Variables!AH5,[0]!WIRE,VLOOKUP(Variables!AI5,[0]!MAT,3))*AK5/100,0)</f>
        <v>4.1693609965316831</v>
      </c>
      <c r="AM5" s="7">
        <f>IF(AD5&gt;0,(((VLOOKUP(Variables!AH5,[0]!WIRE,2))+Variables!AJ5*2)*2)^2*AE5,0)</f>
        <v>12.779192000000002</v>
      </c>
      <c r="AN5" s="7">
        <f>IF(AD5&gt;0,VLOOKUP(Variables!AH5,[0]!WIRE,4)/100*2*AE5*AK5*VLOOKUP(Variables!AI5,[0]!MAT,4)/1000,0)</f>
        <v>4.1668066399840949E-2</v>
      </c>
      <c r="AO5" s="7">
        <f>IF(AD5&gt;0,(VLOOKUP(Variables!AH5,[0]!WIRE,2)+Variables!AJ5)*PI()/10*Variables!AJ5/10*AK5*AE5*VLOOKUP("PI",[0]!MAT,4)/1000,0)</f>
        <v>7.2630661162220887E-3</v>
      </c>
      <c r="AP5" s="7">
        <f t="shared" si="1"/>
        <v>0.18396640000000003</v>
      </c>
      <c r="AQ5" s="8">
        <f t="shared" si="14"/>
        <v>0.36793280000000006</v>
      </c>
      <c r="AR5" s="14">
        <f>IF(Variables!AB5&gt;0,ROUNDUP($K5/Variables!AB5,0),0)</f>
        <v>1</v>
      </c>
      <c r="AS5" s="7">
        <f t="shared" si="15"/>
        <v>62</v>
      </c>
      <c r="AT5" s="7">
        <f t="array" ref="AT5">IF(Variables!AB5&gt;0,ROUNDUP($K5/Variables!AB5,0)*$I5/2/10+SUM($I5/10*IF(INT((ROW(COUNTUP)+1)/Variables!AB5)=((ROW(COUNTUP)+1)/Variables!AB5),IF(ROW(COUNTUP)&lt;$K5,ROW(COUNTUP),0),0)),0)</f>
        <v>71.224999999999994</v>
      </c>
      <c r="AU5" s="7">
        <f t="shared" si="16"/>
        <v>44.159500000000001</v>
      </c>
      <c r="AV5" s="7">
        <f t="shared" si="17"/>
        <v>88.319000000000003</v>
      </c>
      <c r="AW5" s="7">
        <f>IF(AR5&gt;0,VLOOKUP(Variables!AK5,[0]!WIRE,VLOOKUP(Variables!AL5,[0]!MAT,3))*Variables!$C5/100,0)</f>
        <v>0.40146300029985893</v>
      </c>
      <c r="AX5" s="7">
        <f>IF(AR5&gt;0,VLOOKUP(Variables!AK5,[0]!WIRE,4)/100*2*AT5*2*VLOOKUP(Variables!AL5,[0]!MAT,4),0)</f>
        <v>0.81624886105479322</v>
      </c>
      <c r="AY5" s="7">
        <f>(Variables!$W5-Variables!$C5)+(Variables!$X5-Variables!$B5)+(2*Variables!$Y5)</f>
        <v>296.72000000000003</v>
      </c>
      <c r="AZ5" s="7">
        <f>IF(AR5&gt;0,VLOOKUP(Variables!AK5,[0]!WIRE,VLOOKUP(Variables!AL5,[0]!MAT,3))*AY5/100,0)</f>
        <v>1.6480644915464049</v>
      </c>
      <c r="BA5" s="7">
        <f>IF(AR5&gt;0,(((VLOOKUP(Variables!AK5,[0]!WIRE,2))+Variables!AM5*2)*2)^2*AS5,0)</f>
        <v>40.077792000000009</v>
      </c>
      <c r="BB5" s="7">
        <f>IF(AR5&gt;0,VLOOKUP(Variables!AK5,[0]!WIRE,4)/100*2*AS5*AY5*VLOOKUP(Variables!AL5,[0]!MAT,4)/1000,0)</f>
        <v>0.10541408527367534</v>
      </c>
      <c r="BC5" s="7">
        <f>IF(AR5&gt;0,(VLOOKUP(Variables!AK5,[0]!WIRE,2)+Variables!AM5)*PI()/10*Variables!AM5/10*AY5*AS5*VLOOKUP("PI",[0]!MAT,4)/1000,0)</f>
        <v>2.4784700193209851E-2</v>
      </c>
      <c r="BD5" s="7">
        <f t="shared" si="2"/>
        <v>0.18396640000000003</v>
      </c>
      <c r="BE5" s="8">
        <f t="shared" si="18"/>
        <v>0.36793280000000006</v>
      </c>
      <c r="BF5" s="14">
        <f>IF(Variables!AC5&gt;0,ROUNDUP($K5/Variables!AC5,0),0)</f>
        <v>1</v>
      </c>
      <c r="BG5" s="7">
        <f t="shared" si="19"/>
        <v>62</v>
      </c>
      <c r="BH5" s="7">
        <f t="array" ref="BH5">IF(Variables!AC5&gt;0,ROUNDUP($K5/Variables!AC5,0)*$I5/2/10+SUM($I5/10*IF(INT((ROW(COUNTUP)+1)/Variables!AC5)=((ROW(COUNTUP)+1)/Variables!AC5),IF(ROW(COUNTUP)&lt;$K5,ROW(COUNTUP),0),0)),0)</f>
        <v>71.224999999999994</v>
      </c>
      <c r="BI5" s="7">
        <f t="shared" si="20"/>
        <v>44.159500000000001</v>
      </c>
      <c r="BJ5" s="7">
        <f t="shared" si="21"/>
        <v>88.319000000000003</v>
      </c>
      <c r="BK5" s="7">
        <f>IF(BF5&gt;0,VLOOKUP(Variables!AN5,[0]!WIRE,VLOOKUP(Variables!AO5,[0]!MAT,3))*Variables!$C5/100,0)</f>
        <v>0.40146300029985893</v>
      </c>
      <c r="BL5" s="7">
        <f>IF(BF5&gt;0,VLOOKUP(Variables!AN5,[0]!WIRE,4)/100*2*BH5*2*VLOOKUP(Variables!AO5,[0]!MAT,4),0)</f>
        <v>0.81624886105479322</v>
      </c>
      <c r="BM5" s="7">
        <f>(Variables!$W5-Variables!$C5)+(Variables!$X5-Variables!$B5)+(2*Variables!$Y5)</f>
        <v>296.72000000000003</v>
      </c>
      <c r="BN5" s="7">
        <f>IF(BF5&gt;0,VLOOKUP(Variables!AN5,[0]!WIRE,VLOOKUP(Variables!AO5,[0]!MAT,3))*BM5/100,0)</f>
        <v>1.6480644915464049</v>
      </c>
      <c r="BO5" s="7">
        <f>IF(BF5&gt;0,(((VLOOKUP(Variables!AN5,[0]!WIRE,2))+Variables!AP5*2)*2)^2*BG5,0)</f>
        <v>22.618592000000007</v>
      </c>
      <c r="BP5" s="7">
        <f>IF(BF5&gt;0,VLOOKUP(Variables!AN5,[0]!WIRE,4)/100*2*BG5*BM5*VLOOKUP(Variables!AO5,[0]!MAT,4)/1000,0)</f>
        <v>0.10541408527367534</v>
      </c>
      <c r="BQ5" s="7">
        <f>IF(BF5&gt;0,(VLOOKUP(Variables!AN5,[0]!WIRE,2)+Variables!AP5)*PI()/10*Variables!AP5/10*BM5*BG5*VLOOKUP("PI",[0]!MAT,4)/1000,0)</f>
        <v>1.0340636504451786E-2</v>
      </c>
      <c r="BR5" s="7">
        <f t="shared" si="3"/>
        <v>0.18396640000000003</v>
      </c>
      <c r="BS5" s="8">
        <f t="shared" si="22"/>
        <v>0.36793280000000006</v>
      </c>
      <c r="BT5" s="14">
        <f>IF(Variables!AD5&gt;0,ROUNDUP($K5/Variables!AD5,0),0)</f>
        <v>1</v>
      </c>
      <c r="BU5" s="7">
        <f t="shared" si="23"/>
        <v>62</v>
      </c>
      <c r="BV5" s="7">
        <f t="array" ref="BV5">IF(Variables!AD5&gt;0,ROUNDUP($K5/Variables!AD5,0)*$I5/2/10+SUM($I5/10*IF(INT((ROW(COUNTUP)+1)/Variables!AD5)=((ROW(COUNTUP)+1)/Variables!AD5),IF(ROW(COUNTUP)&lt;$K5,ROW(COUNTUP),0),0)),0)</f>
        <v>71.224999999999994</v>
      </c>
      <c r="BW5" s="7">
        <f t="shared" si="24"/>
        <v>44.159500000000001</v>
      </c>
      <c r="BX5" s="7">
        <f t="shared" si="25"/>
        <v>88.319000000000003</v>
      </c>
      <c r="BY5" s="7">
        <f>IF(BT5&gt;0,VLOOKUP(Variables!AQ5,[0]!WIRE,VLOOKUP(Variables!AR5,[0]!MAT,3))*Variables!$C5/100,0)</f>
        <v>6.0800491581168188E-2</v>
      </c>
      <c r="BZ5" s="7">
        <f>IF(BT5&gt;0,VLOOKUP(Variables!AQ5,[0]!WIRE,4)/100*2*BV5*2*VLOOKUP(Variables!AR5,[0]!MAT,4),0)</f>
        <v>3.0930673666212276</v>
      </c>
      <c r="CA5" s="7">
        <f>(Variables!$W5-Variables!$C5)+(Variables!$X5-Variables!$B5)+(2*Variables!$Y5)</f>
        <v>296.72000000000003</v>
      </c>
      <c r="CB5" s="7">
        <f>IF(BT5&gt;0,VLOOKUP(Variables!AQ5,[0]!WIRE,VLOOKUP(Variables!AR5,[0]!MAT,3))*CA5/100,0)</f>
        <v>0.24959493444886868</v>
      </c>
      <c r="CC5" s="7">
        <f>IF(BT5&gt;0,(((VLOOKUP(Variables!AQ5,[0]!WIRE,2))+Variables!AS5*2)*2)^2*BU5,0)</f>
        <v>137.276928</v>
      </c>
      <c r="CD5" s="7">
        <f>IF(BT5&gt;0,VLOOKUP(Variables!AQ5,[0]!WIRE,4)/100*2*BU5*CA5*VLOOKUP(Variables!AR5,[0]!MAT,4)/1000,0)</f>
        <v>0.39945276826590914</v>
      </c>
      <c r="CE5" s="7">
        <f>IF(BT5&gt;0,(VLOOKUP(Variables!AQ5,[0]!WIRE,2)+Variables!AS5)*PI()/10*Variables!AS5/10*CA5*BU5*VLOOKUP("PI",[0]!MAT,4)/1000,0)</f>
        <v>2.847778465908549E-2</v>
      </c>
      <c r="CF5" s="7">
        <f t="shared" si="4"/>
        <v>0.18396640000000003</v>
      </c>
      <c r="CG5" s="8">
        <f t="shared" si="26"/>
        <v>0.36793280000000006</v>
      </c>
    </row>
    <row r="6" spans="1:85" x14ac:dyDescent="0.25">
      <c r="A6" t="s">
        <v>6</v>
      </c>
      <c r="B6" s="3">
        <f>Variables!E6*Variables!F6/1000</f>
        <v>16.8</v>
      </c>
      <c r="C6" s="3">
        <f>Results!B6+2*Variables!G6+Variables!H6</f>
        <v>18.8</v>
      </c>
      <c r="D6" s="3">
        <f>Variables!I6*Variables!J6/1000</f>
        <v>20</v>
      </c>
      <c r="E6" s="3">
        <f>Results!D6+2*Variables!K6+Variables!L6</f>
        <v>20.2</v>
      </c>
      <c r="F6" s="3">
        <f>C6*Variables!M6+(Variables!M6-1)*Variables!O6</f>
        <v>37.700000000000003</v>
      </c>
      <c r="G6" s="3">
        <f>E6*Variables!N6+(Variables!N6-1)*Variables!P6</f>
        <v>40.5</v>
      </c>
      <c r="H6" s="3">
        <f>(Variables!M6*Variables!E6-Variables!Q6)*Variables!F6/1000+((Variables!M6-1)*Variables!O6)</f>
        <v>33.300000000000004</v>
      </c>
      <c r="I6" s="3">
        <f>G6+Variables!R6</f>
        <v>40.700000000000003</v>
      </c>
      <c r="J6" s="14">
        <f>IF(H6&gt;0,ROUNDUP(2*PI()*Variables!B6*10/H6,0),0)</f>
        <v>48</v>
      </c>
      <c r="K6" s="7">
        <f>IF(I6&gt;0,ROUNDUP(Variables!C6*10/Results!I6,0),0)</f>
        <v>18</v>
      </c>
      <c r="L6" s="7">
        <f t="shared" si="5"/>
        <v>1728</v>
      </c>
      <c r="M6" s="7">
        <f>2*PI()*2*Variables!B6*Variables!C6/10000</f>
        <v>2.2707431700147027</v>
      </c>
      <c r="N6" s="7">
        <f>Variables!M6*Variables!N6*B6*D6/1000000*L6</f>
        <v>2.3224320000000001</v>
      </c>
      <c r="O6" s="8">
        <f t="shared" si="6"/>
        <v>2.2999999999999998</v>
      </c>
      <c r="P6" s="14">
        <f>IF(Variables!V6&gt;0,ROUNDUP($K6*Variables!U6/Variables!V6,0),0)</f>
        <v>5</v>
      </c>
      <c r="Q6" s="7">
        <f t="shared" si="7"/>
        <v>480</v>
      </c>
      <c r="R6" s="7">
        <f t="array" ref="R6">IF(Variables!Z6&gt;0,ROUNDUP($K6/Variables!Z6,0)*$I6/2/10+SUM($I6/10*IF(INT((ROW(COUNTUP)+1)/Variables!Z6)=((ROW(COUNTUP)+1)/Variables!Z6),IF(ROW(COUNTUP)&lt;$K6,ROW(COUNTUP),0),0)),0)</f>
        <v>156.69500000000002</v>
      </c>
      <c r="S6" s="7">
        <f t="shared" si="8"/>
        <v>150.4272</v>
      </c>
      <c r="T6" s="7">
        <f t="shared" si="9"/>
        <v>300.8544</v>
      </c>
      <c r="U6" s="7">
        <f>IF(P6&gt;0,VLOOKUP(Variables!AE6,[0]!WIRE,VLOOKUP(Variables!AF6,[0]!MAT,3))*Variables!$C6/100,0)</f>
        <v>0.15897842862778355</v>
      </c>
      <c r="V6" s="7">
        <f>IF(P6&gt;0,VLOOKUP(Variables!AE6,[0]!WIRE,4)/100*2*R6*2*VLOOKUP(Variables!AF6,[0]!MAT,4),0)</f>
        <v>4.5347421223969047</v>
      </c>
      <c r="W6" s="7">
        <f>(Variables!$W6-Variables!$C6)+(Variables!$X6-Variables!$B6)+(2*Variables!$Y6)</f>
        <v>287.72000000000003</v>
      </c>
      <c r="X6" s="7">
        <f>IF(P6&gt;0,VLOOKUP(Variables!AE6,[0]!WIRE,VLOOKUP(Variables!AF6,[0]!MAT,3))*W6/100,0)</f>
        <v>0.63283444223555463</v>
      </c>
      <c r="Y6" s="7">
        <f>IF(P6&gt;0,(((VLOOKUP(Variables!AE6,[0]!WIRE,2))+Variables!AG6*2)*2)^2*Q6,0)</f>
        <v>340.30272000000008</v>
      </c>
      <c r="Z6" s="7">
        <f>IF(P6&gt;0,VLOOKUP(Variables!AE6,[0]!WIRE,4)/100*2*Q6*W6*VLOOKUP(Variables!AF6,[0]!MAT,4)/1000,0)</f>
        <v>1.9983831062219533</v>
      </c>
      <c r="AA6" s="7">
        <f>IF(P6&gt;0,(VLOOKUP(Variables!AE6,[0]!WIRE,2)+Variables!AG6)*PI()/10*Variables!AG6/10*W6*Q6*VLOOKUP("PI",[0]!MAT,4)/1000,0)</f>
        <v>0.11428610192457321</v>
      </c>
      <c r="AB6" s="7">
        <f t="shared" si="0"/>
        <v>1.3810560000000001</v>
      </c>
      <c r="AC6" s="7">
        <f t="shared" si="10"/>
        <v>2.7621120000000001</v>
      </c>
      <c r="AD6" s="14">
        <f>IF(Variables!AA6&gt;0,ROUNDUP($K6/Variables!AA6,0),0)</f>
        <v>1</v>
      </c>
      <c r="AE6" s="7">
        <f t="shared" si="11"/>
        <v>96</v>
      </c>
      <c r="AF6" s="7">
        <f t="array" ref="AF6">IF(Variables!AA6&gt;0,ROUNDUP($K6/Variables!AA6,0)*$I6/2/10+SUM($I6/10*IF(INT((ROW(COUNTUP)+1)/Variables!AA6)=((ROW(COUNTUP)+1)/Variables!AA6),IF(ROW(COUNTUP)&lt;$K6,ROW(COUNTUP),0),0)),0)</f>
        <v>71.224999999999994</v>
      </c>
      <c r="AG6" s="7">
        <f t="shared" si="12"/>
        <v>68.375999999999991</v>
      </c>
      <c r="AH6" s="7">
        <f t="shared" si="13"/>
        <v>136.75199999999998</v>
      </c>
      <c r="AI6" s="7">
        <f>IF(AD6&gt;0,VLOOKUP(Variables!AH6,[0]!WIRE,VLOOKUP(Variables!AI6,[0]!MAT,3))*Variables!$C6/100,0)</f>
        <v>1.0156423996673969</v>
      </c>
      <c r="AJ6" s="7">
        <f>IF(AD6&gt;0,VLOOKUP(Variables!AH6,[0]!WIRE,4)/100*2*AF6*2*VLOOKUP(Variables!AI6,[0]!MAT,4),0)</f>
        <v>0.32264674737655036</v>
      </c>
      <c r="AK6" s="7">
        <f>(Variables!$W6-Variables!$C6)+(Variables!$X6-Variables!$B6)+(2*Variables!$Y6)</f>
        <v>287.72000000000003</v>
      </c>
      <c r="AL6" s="7">
        <f>IF(AD6&gt;0,VLOOKUP(Variables!AH6,[0]!WIRE,VLOOKUP(Variables!AI6,[0]!MAT,3))*AK6/100,0)</f>
        <v>4.0428974990634119</v>
      </c>
      <c r="AM6" s="7">
        <f>IF(AD6&gt;0,(((VLOOKUP(Variables!AH6,[0]!WIRE,2))+Variables!AJ6*2)*2)^2*AE6,0)</f>
        <v>19.787136000000004</v>
      </c>
      <c r="AN6" s="7">
        <f>IF(AD6&gt;0,VLOOKUP(Variables!AH6,[0]!WIRE,4)/100*2*AE6*AK6*VLOOKUP(Variables!AI6,[0]!MAT,4)/1000,0)</f>
        <v>6.2561351540171173E-2</v>
      </c>
      <c r="AO6" s="7">
        <f>IF(AD6&gt;0,(VLOOKUP(Variables!AH6,[0]!WIRE,2)+Variables!AJ6)*PI()/10*Variables!AJ6/10*AK6*AE6*VLOOKUP("PI",[0]!MAT,4)/1000,0)</f>
        <v>1.0904927245633128E-2</v>
      </c>
      <c r="AP6" s="7">
        <f t="shared" si="1"/>
        <v>0.27621120000000005</v>
      </c>
      <c r="AQ6" s="8">
        <f t="shared" si="14"/>
        <v>0.55242240000000009</v>
      </c>
      <c r="AR6" s="14">
        <f>IF(Variables!AB6&gt;0,ROUNDUP($K6/Variables!AB6,0),0)</f>
        <v>1</v>
      </c>
      <c r="AS6" s="7">
        <f t="shared" si="15"/>
        <v>96</v>
      </c>
      <c r="AT6" s="7">
        <f t="array" ref="AT6">IF(Variables!AB6&gt;0,ROUNDUP($K6/Variables!AB6,0)*$I6/2/10+SUM($I6/10*IF(INT((ROW(COUNTUP)+1)/Variables!AB6)=((ROW(COUNTUP)+1)/Variables!AB6),IF(ROW(COUNTUP)&lt;$K6,ROW(COUNTUP),0),0)),0)</f>
        <v>71.224999999999994</v>
      </c>
      <c r="AU6" s="7">
        <f t="shared" si="16"/>
        <v>68.375999999999991</v>
      </c>
      <c r="AV6" s="7">
        <f t="shared" si="17"/>
        <v>136.75199999999998</v>
      </c>
      <c r="AW6" s="7">
        <f>IF(AR6&gt;0,VLOOKUP(Variables!AK6,[0]!WIRE,VLOOKUP(Variables!AL6,[0]!MAT,3))*Variables!$C6/100,0)</f>
        <v>0.40146300029985893</v>
      </c>
      <c r="AX6" s="7">
        <f>IF(AR6&gt;0,VLOOKUP(Variables!AK6,[0]!WIRE,4)/100*2*AT6*2*VLOOKUP(Variables!AL6,[0]!MAT,4),0)</f>
        <v>0.81624886105479322</v>
      </c>
      <c r="AY6" s="7">
        <f>(Variables!$W6-Variables!$C6)+(Variables!$X6-Variables!$B6)+(2*Variables!$Y6)</f>
        <v>287.72000000000003</v>
      </c>
      <c r="AZ6" s="7">
        <f>IF(AR6&gt;0,VLOOKUP(Variables!AK6,[0]!WIRE,VLOOKUP(Variables!AL6,[0]!MAT,3))*AY6/100,0)</f>
        <v>1.5980760161355207</v>
      </c>
      <c r="BA6" s="7">
        <f>IF(AR6&gt;0,(((VLOOKUP(Variables!AK6,[0]!WIRE,2))+Variables!AM6*2)*2)^2*AS6,0)</f>
        <v>62.05593600000001</v>
      </c>
      <c r="BB6" s="7">
        <f>IF(AR6&gt;0,VLOOKUP(Variables!AK6,[0]!WIRE,4)/100*2*AS6*AY6*VLOOKUP(Variables!AL6,[0]!MAT,4)/1000,0)</f>
        <v>0.15827102661325218</v>
      </c>
      <c r="BC6" s="7">
        <f>IF(AR6&gt;0,(VLOOKUP(Variables!AK6,[0]!WIRE,2)+Variables!AM6)*PI()/10*Variables!AM6/10*AY6*AS6*VLOOKUP("PI",[0]!MAT,4)/1000,0)</f>
        <v>3.7212294103742445E-2</v>
      </c>
      <c r="BD6" s="7">
        <f t="shared" si="2"/>
        <v>0.27621120000000005</v>
      </c>
      <c r="BE6" s="8">
        <f t="shared" si="18"/>
        <v>0.55242240000000009</v>
      </c>
      <c r="BF6" s="14">
        <f>IF(Variables!AC6&gt;0,ROUNDUP($K6/Variables!AC6,0),0)</f>
        <v>1</v>
      </c>
      <c r="BG6" s="7">
        <f t="shared" si="19"/>
        <v>96</v>
      </c>
      <c r="BH6" s="7">
        <f t="array" ref="BH6">IF(Variables!AC6&gt;0,ROUNDUP($K6/Variables!AC6,0)*$I6/2/10+SUM($I6/10*IF(INT((ROW(COUNTUP)+1)/Variables!AC6)=((ROW(COUNTUP)+1)/Variables!AC6),IF(ROW(COUNTUP)&lt;$K6,ROW(COUNTUP),0),0)),0)</f>
        <v>71.224999999999994</v>
      </c>
      <c r="BI6" s="7">
        <f t="shared" si="20"/>
        <v>68.375999999999991</v>
      </c>
      <c r="BJ6" s="7">
        <f t="shared" si="21"/>
        <v>136.75199999999998</v>
      </c>
      <c r="BK6" s="7">
        <f>IF(BF6&gt;0,VLOOKUP(Variables!AN6,[0]!WIRE,VLOOKUP(Variables!AO6,[0]!MAT,3))*Variables!$C6/100,0)</f>
        <v>0.40146300029985893</v>
      </c>
      <c r="BL6" s="7">
        <f>IF(BF6&gt;0,VLOOKUP(Variables!AN6,[0]!WIRE,4)/100*2*BH6*2*VLOOKUP(Variables!AO6,[0]!MAT,4),0)</f>
        <v>0.81624886105479322</v>
      </c>
      <c r="BM6" s="7">
        <f>(Variables!$W6-Variables!$C6)+(Variables!$X6-Variables!$B6)+(2*Variables!$Y6)</f>
        <v>287.72000000000003</v>
      </c>
      <c r="BN6" s="7">
        <f>IF(BF6&gt;0,VLOOKUP(Variables!AN6,[0]!WIRE,VLOOKUP(Variables!AO6,[0]!MAT,3))*BM6/100,0)</f>
        <v>1.5980760161355207</v>
      </c>
      <c r="BO6" s="7">
        <f>IF(BF6&gt;0,(((VLOOKUP(Variables!AN6,[0]!WIRE,2))+Variables!AP6*2)*2)^2*BG6,0)</f>
        <v>35.02233600000001</v>
      </c>
      <c r="BP6" s="7">
        <f>IF(BF6&gt;0,VLOOKUP(Variables!AN6,[0]!WIRE,4)/100*2*BG6*BM6*VLOOKUP(Variables!AO6,[0]!MAT,4)/1000,0)</f>
        <v>0.15827102661325218</v>
      </c>
      <c r="BQ6" s="7">
        <f>IF(BF6&gt;0,(VLOOKUP(Variables!AN6,[0]!WIRE,2)+Variables!AP6)*PI()/10*Variables!AP6/10*BM6*BG6*VLOOKUP("PI",[0]!MAT,4)/1000,0)</f>
        <v>1.5525659129375981E-2</v>
      </c>
      <c r="BR6" s="7">
        <f t="shared" si="3"/>
        <v>0.27621120000000005</v>
      </c>
      <c r="BS6" s="8">
        <f t="shared" si="22"/>
        <v>0.55242240000000009</v>
      </c>
      <c r="BT6" s="14">
        <f>IF(Variables!AD6&gt;0,ROUNDUP($K6/Variables!AD6,0),0)</f>
        <v>1</v>
      </c>
      <c r="BU6" s="7">
        <f t="shared" si="23"/>
        <v>96</v>
      </c>
      <c r="BV6" s="7">
        <f t="array" ref="BV6">IF(Variables!AD6&gt;0,ROUNDUP($K6/Variables!AD6,0)*$I6/2/10+SUM($I6/10*IF(INT((ROW(COUNTUP)+1)/Variables!AD6)=((ROW(COUNTUP)+1)/Variables!AD6),IF(ROW(COUNTUP)&lt;$K6,ROW(COUNTUP),0),0)),0)</f>
        <v>71.224999999999994</v>
      </c>
      <c r="BW6" s="7">
        <f t="shared" si="24"/>
        <v>68.375999999999991</v>
      </c>
      <c r="BX6" s="7">
        <f t="shared" si="25"/>
        <v>136.75199999999998</v>
      </c>
      <c r="BY6" s="7">
        <f>IF(BT6&gt;0,VLOOKUP(Variables!AQ6,[0]!WIRE,VLOOKUP(Variables!AR6,[0]!MAT,3))*Variables!$C6/100,0)</f>
        <v>6.0800491581168188E-2</v>
      </c>
      <c r="BZ6" s="7">
        <f>IF(BT6&gt;0,VLOOKUP(Variables!AQ6,[0]!WIRE,4)/100*2*BV6*2*VLOOKUP(Variables!AR6,[0]!MAT,4),0)</f>
        <v>3.0930673666212276</v>
      </c>
      <c r="CA6" s="7">
        <f>(Variables!$W6-Variables!$C6)+(Variables!$X6-Variables!$B6)+(2*Variables!$Y6)</f>
        <v>287.72000000000003</v>
      </c>
      <c r="CB6" s="7">
        <f>IF(BT6&gt;0,VLOOKUP(Variables!AQ6,[0]!WIRE,VLOOKUP(Variables!AR6,[0]!MAT,3))*CA6/100,0)</f>
        <v>0.24202431430179458</v>
      </c>
      <c r="CC6" s="7">
        <f>IF(BT6&gt;0,(((VLOOKUP(Variables!AQ6,[0]!WIRE,2))+Variables!AS6*2)*2)^2*BU6,0)</f>
        <v>212.55782400000001</v>
      </c>
      <c r="CD6" s="7">
        <f>IF(BT6&gt;0,VLOOKUP(Variables!AQ6,[0]!WIRE,4)/100*2*BU6*CA6*VLOOKUP(Variables!AR6,[0]!MAT,4)/1000,0)</f>
        <v>0.59974717375590691</v>
      </c>
      <c r="CE6" s="7">
        <f>IF(BT6&gt;0,(VLOOKUP(Variables!AQ6,[0]!WIRE,2)+Variables!AS6)*PI()/10*Variables!AS6/10*CA6*BU6*VLOOKUP("PI",[0]!MAT,4)/1000,0)</f>
        <v>4.2757172364233868E-2</v>
      </c>
      <c r="CF6" s="7">
        <f t="shared" si="4"/>
        <v>0.27621120000000005</v>
      </c>
      <c r="CG6" s="8">
        <f t="shared" si="26"/>
        <v>0.55242240000000009</v>
      </c>
    </row>
    <row r="7" spans="1:85" x14ac:dyDescent="0.25">
      <c r="A7" t="s">
        <v>7</v>
      </c>
      <c r="B7" s="3">
        <f>Variables!E7*Variables!F7/1000</f>
        <v>0</v>
      </c>
      <c r="C7" s="3">
        <f>Results!B7+2*Variables!G7+Variables!H7</f>
        <v>0</v>
      </c>
      <c r="D7" s="3">
        <f>Variables!I7*Variables!J7/1000</f>
        <v>0</v>
      </c>
      <c r="E7" s="3">
        <f>Results!D7+2*Variables!K7+Variables!L7</f>
        <v>0</v>
      </c>
      <c r="F7" s="3">
        <f>C7*Variables!M7+(Variables!M7-1)*Variables!O7</f>
        <v>0</v>
      </c>
      <c r="G7" s="3">
        <f>E7*Variables!N7+(Variables!N7-1)*Variables!P7</f>
        <v>0</v>
      </c>
      <c r="H7" s="3">
        <f>(Variables!M7*Variables!E7-Variables!Q7)*Variables!F7/1000+((Variables!M7-1)*Variables!O7)</f>
        <v>0</v>
      </c>
      <c r="I7" s="3">
        <f>G7+Variables!R7</f>
        <v>0</v>
      </c>
      <c r="J7" s="14">
        <f>IF(H7&gt;0,ROUNDUP(2*PI()*Variables!B7*10/H7,0),0)</f>
        <v>0</v>
      </c>
      <c r="K7" s="7">
        <v>0</v>
      </c>
      <c r="L7" s="7">
        <f t="shared" ref="L7:L8" si="27">J7*K7</f>
        <v>0</v>
      </c>
      <c r="M7" s="7">
        <f>2*PI()*2*Variables!B7*Variables!C7</f>
        <v>0</v>
      </c>
      <c r="N7" s="7">
        <f>Variables!M7*Variables!N7*B7*D7/1000000*L7</f>
        <v>0</v>
      </c>
      <c r="O7" s="8">
        <f t="shared" si="6"/>
        <v>0</v>
      </c>
      <c r="P7" s="14">
        <f>IF(Variables!V7&gt;0,ROUNDUP($K7*Variables!U7/Variables!V7,0),0)</f>
        <v>0</v>
      </c>
      <c r="Q7" s="7">
        <f t="shared" si="7"/>
        <v>0</v>
      </c>
      <c r="R7" s="7">
        <f t="array" ref="R7">IF(Variables!Z7&gt;0,ROUNDUP($K7/Variables!Z7,0)*$I7/2/10+SUM($I7/10*IF(INT((ROW(COUNTUP)+1)/Variables!Z7)=((ROW(COUNTUP)+1)/Variables!Z7),IF(ROW(COUNTUP)&lt;$K7,ROW(COUNTUP),0),0)),0)</f>
        <v>0</v>
      </c>
      <c r="S7" s="7">
        <f t="shared" si="8"/>
        <v>0</v>
      </c>
      <c r="T7" s="7">
        <f t="shared" si="9"/>
        <v>0</v>
      </c>
      <c r="U7" s="7">
        <f>IF(P7&gt;0,VLOOKUP(Variables!AE7,[0]!WIRE,VLOOKUP(Variables!AF7,[0]!MAT,3))*Variables!$C7/100,0)</f>
        <v>0</v>
      </c>
      <c r="V7" s="7">
        <f>IF(P7&gt;0,VLOOKUP(Variables!AE7,[0]!WIRE,4)/100*2*R7*2*VLOOKUP(Variables!AF7,[0]!MAT,4),0)</f>
        <v>0</v>
      </c>
      <c r="W7" s="7">
        <f>(Variables!$W7-Variables!$C7)+(Variables!$X7-Variables!$B7)+(2*Variables!$Y7)</f>
        <v>0</v>
      </c>
      <c r="X7" s="7">
        <f>IF(P7&gt;0,VLOOKUP(Variables!AE7,[0]!WIRE,VLOOKUP(Variables!AF7,[0]!MAT,3))*W7/100,0)</f>
        <v>0</v>
      </c>
      <c r="Y7" s="7">
        <f>IF(P7&gt;0,(((VLOOKUP(Variables!AE7,[0]!WIRE,2))+Variables!AG7*2)*2)^2*Q7,0)</f>
        <v>0</v>
      </c>
      <c r="Z7" s="7">
        <f>IF(P7&gt;0,VLOOKUP(Variables!AE7,[0]!WIRE,4)/100*2*Q7*W7*VLOOKUP(Variables!AF7,[0]!MAT,4)/1000,0)</f>
        <v>0</v>
      </c>
      <c r="AA7" s="7">
        <f>IF(P7&gt;0,(VLOOKUP(Variables!AE7,[0]!WIRE,2)+Variables!AG7)*PI()/10*Variables!AG7/10*W7*Q7*VLOOKUP("PI",[0]!MAT,4)/1000,0)</f>
        <v>0</v>
      </c>
      <c r="AB7" s="7">
        <f t="shared" si="0"/>
        <v>0</v>
      </c>
      <c r="AC7" s="7">
        <f t="shared" si="10"/>
        <v>0</v>
      </c>
      <c r="AD7" s="14">
        <f>IF(Variables!AA7&gt;0,ROUNDUP($K7/Variables!AA7,0),0)</f>
        <v>0</v>
      </c>
      <c r="AE7" s="7">
        <f t="shared" si="11"/>
        <v>0</v>
      </c>
      <c r="AF7" s="7">
        <f t="array" ref="AF7">IF(Variables!AA7&gt;0,ROUNDUP($K7/Variables!AA7,0)*$I7/2/10+SUM($I7/10*IF(INT((ROW(COUNTUP)+1)/Variables!AA7)=((ROW(COUNTUP)+1)/Variables!AA7),IF(ROW(COUNTUP)&lt;$K7,ROW(COUNTUP),0),0)),0)</f>
        <v>0</v>
      </c>
      <c r="AG7" s="7">
        <f t="shared" si="12"/>
        <v>0</v>
      </c>
      <c r="AH7" s="7">
        <f t="shared" si="13"/>
        <v>0</v>
      </c>
      <c r="AI7" s="7">
        <f>IF(AD7&gt;0,VLOOKUP(Variables!AH7,[0]!WIRE,VLOOKUP(Variables!AI7,[0]!MAT,3))*Variables!$C7/100,0)</f>
        <v>0</v>
      </c>
      <c r="AJ7" s="7">
        <f>IF(AD7&gt;0,VLOOKUP(Variables!AH7,[0]!WIRE,4)/100*2*AF7*2*VLOOKUP(Variables!AI7,[0]!MAT,4),0)</f>
        <v>0</v>
      </c>
      <c r="AK7" s="7">
        <f>(Variables!$W7-Variables!$C7)+(Variables!$X7-Variables!$B7)+(2*Variables!$Y7)</f>
        <v>0</v>
      </c>
      <c r="AL7" s="7">
        <f>IF(AD7&gt;0,VLOOKUP(Variables!AH7,[0]!WIRE,VLOOKUP(Variables!AI7,[0]!MAT,3))*AK7/100,0)</f>
        <v>0</v>
      </c>
      <c r="AM7" s="7">
        <f>IF(AD7&gt;0,(((VLOOKUP(Variables!AH7,[0]!WIRE,2))+Variables!AJ7*2)*2)^2*AE7,0)</f>
        <v>0</v>
      </c>
      <c r="AN7" s="7">
        <f>IF(AD7&gt;0,VLOOKUP(Variables!AH7,[0]!WIRE,4)/100*2*AE7*AK7*VLOOKUP(Variables!AI7,[0]!MAT,4)/1000,0)</f>
        <v>0</v>
      </c>
      <c r="AO7" s="7">
        <f>IF(AD7&gt;0,(VLOOKUP(Variables!AH7,[0]!WIRE,2)+Variables!AJ7)*PI()/10*Variables!AJ7/10*AK7*AE7*VLOOKUP("PI",[0]!MAT,4)/1000,0)</f>
        <v>0</v>
      </c>
      <c r="AP7" s="7">
        <f t="shared" si="1"/>
        <v>0</v>
      </c>
      <c r="AQ7" s="8">
        <f t="shared" si="14"/>
        <v>0</v>
      </c>
      <c r="AR7" s="14">
        <f>IF(Variables!AB7&gt;0,ROUNDUP($K7/Variables!AB7,0),0)</f>
        <v>0</v>
      </c>
      <c r="AS7" s="7">
        <f t="shared" si="15"/>
        <v>0</v>
      </c>
      <c r="AT7" s="7">
        <f t="array" ref="AT7">IF(Variables!AB7&gt;0,ROUNDUP($K7/Variables!AB7,0)*$I7/2/10+SUM($I7/10*IF(INT((ROW(COUNTUP)+1)/Variables!AB7)=((ROW(COUNTUP)+1)/Variables!AB7),IF(ROW(COUNTUP)&lt;$K7,ROW(COUNTUP),0),0)),0)</f>
        <v>0</v>
      </c>
      <c r="AU7" s="7">
        <f t="shared" si="16"/>
        <v>0</v>
      </c>
      <c r="AV7" s="7">
        <f t="shared" si="17"/>
        <v>0</v>
      </c>
      <c r="AW7" s="7">
        <f>IF(AR7&gt;0,VLOOKUP(Variables!AK7,[0]!WIRE,VLOOKUP(Variables!AL7,[0]!MAT,3))*Variables!$C7/100,0)</f>
        <v>0</v>
      </c>
      <c r="AX7" s="7">
        <f>IF(AR7&gt;0,VLOOKUP(Variables!AK7,[0]!WIRE,4)/100*2*AT7*2*VLOOKUP(Variables!AL7,[0]!MAT,4),0)</f>
        <v>0</v>
      </c>
      <c r="AY7" s="7">
        <f>(Variables!$W7-Variables!$C7)+(Variables!$X7-Variables!$B7)+(2*Variables!$Y7)</f>
        <v>0</v>
      </c>
      <c r="AZ7" s="7">
        <f>IF(AR7&gt;0,VLOOKUP(Variables!AK7,[0]!WIRE,VLOOKUP(Variables!AL7,[0]!MAT,3))*AY7/100,0)</f>
        <v>0</v>
      </c>
      <c r="BA7" s="7">
        <f>IF(AR7&gt;0,(((VLOOKUP(Variables!AK7,[0]!WIRE,2))+Variables!AM7*2)*2)^2*AS7,0)</f>
        <v>0</v>
      </c>
      <c r="BB7" s="7">
        <f>IF(AR7&gt;0,VLOOKUP(Variables!AK7,[0]!WIRE,4)/100*2*AS7*AY7*VLOOKUP(Variables!AL7,[0]!MAT,4)/1000,0)</f>
        <v>0</v>
      </c>
      <c r="BC7" s="7">
        <f>IF(AR7&gt;0,(VLOOKUP(Variables!AK7,[0]!WIRE,2)+Variables!AM7)*PI()/10*Variables!AM7/10*AY7*AS7*VLOOKUP("PI",[0]!MAT,4)/1000,0)</f>
        <v>0</v>
      </c>
      <c r="BD7" s="7">
        <f t="shared" si="2"/>
        <v>0</v>
      </c>
      <c r="BE7" s="8">
        <f t="shared" si="18"/>
        <v>0</v>
      </c>
      <c r="BF7" s="14">
        <f>IF(Variables!AC7&gt;0,ROUNDUP($K7/Variables!AC7,0),0)</f>
        <v>0</v>
      </c>
      <c r="BG7" s="7">
        <f t="shared" si="19"/>
        <v>0</v>
      </c>
      <c r="BH7" s="7">
        <f t="array" ref="BH7">IF(Variables!AC7&gt;0,ROUNDUP($K7/Variables!AC7,0)*$I7/2/10+SUM($I7/10*IF(INT((ROW(COUNTUP)+1)/Variables!AC7)=((ROW(COUNTUP)+1)/Variables!AC7),IF(ROW(COUNTUP)&lt;$K7,ROW(COUNTUP),0),0)),0)</f>
        <v>0</v>
      </c>
      <c r="BI7" s="7">
        <f t="shared" si="20"/>
        <v>0</v>
      </c>
      <c r="BJ7" s="7">
        <f t="shared" si="21"/>
        <v>0</v>
      </c>
      <c r="BK7" s="7">
        <f>IF(BF7&gt;0,VLOOKUP(Variables!AN7,[0]!WIRE,VLOOKUP(Variables!AO7,[0]!MAT,3))*Variables!$C7/100,0)</f>
        <v>0</v>
      </c>
      <c r="BL7" s="7">
        <f>IF(BF7&gt;0,VLOOKUP(Variables!AN7,[0]!WIRE,4)/100*2*BH7*2*VLOOKUP(Variables!AO7,[0]!MAT,4),0)</f>
        <v>0</v>
      </c>
      <c r="BM7" s="7">
        <f>(Variables!$W7-Variables!$C7)+(Variables!$X7-Variables!$B7)+(2*Variables!$Y7)</f>
        <v>0</v>
      </c>
      <c r="BN7" s="7">
        <f>IF(BF7&gt;0,VLOOKUP(Variables!AN7,[0]!WIRE,VLOOKUP(Variables!AO7,[0]!MAT,3))*BM7/100,0)</f>
        <v>0</v>
      </c>
      <c r="BO7" s="7">
        <f>IF(BF7&gt;0,(((VLOOKUP(Variables!AN7,[0]!WIRE,2))+Variables!AP7*2)*2)^2*BG7,0)</f>
        <v>0</v>
      </c>
      <c r="BP7" s="7">
        <f>IF(BF7&gt;0,VLOOKUP(Variables!AN7,[0]!WIRE,4)/100*2*BG7*BM7*VLOOKUP(Variables!AO7,[0]!MAT,4)/1000,0)</f>
        <v>0</v>
      </c>
      <c r="BQ7" s="7">
        <f>IF(BF7&gt;0,(VLOOKUP(Variables!AN7,[0]!WIRE,2)+Variables!AP7)*PI()/10*Variables!AP7/10*BM7*BG7*VLOOKUP("PI",[0]!MAT,4)/1000,0)</f>
        <v>0</v>
      </c>
      <c r="BR7" s="7">
        <f t="shared" si="3"/>
        <v>0</v>
      </c>
      <c r="BS7" s="8">
        <f t="shared" si="22"/>
        <v>0</v>
      </c>
      <c r="BT7" s="14">
        <f>IF(Variables!AD7&gt;0,ROUNDUP($K7/Variables!AD7,0),0)</f>
        <v>0</v>
      </c>
      <c r="BU7" s="7">
        <f t="shared" si="23"/>
        <v>0</v>
      </c>
      <c r="BV7" s="7">
        <f t="array" ref="BV7">IF(Variables!AD7&gt;0,ROUNDUP($K7/Variables!AD7,0)*$I7/2/10+SUM($I7/10*IF(INT((ROW(COUNTUP)+1)/Variables!AD7)=((ROW(COUNTUP)+1)/Variables!AD7),IF(ROW(COUNTUP)&lt;$K7,ROW(COUNTUP),0),0)),0)</f>
        <v>0</v>
      </c>
      <c r="BW7" s="7">
        <f t="shared" si="24"/>
        <v>0</v>
      </c>
      <c r="BX7" s="7">
        <f t="shared" si="25"/>
        <v>0</v>
      </c>
      <c r="BY7" s="7">
        <f>IF(BT7&gt;0,VLOOKUP(Variables!AQ7,[0]!WIRE,VLOOKUP(Variables!AR7,[0]!MAT,3))*Variables!$C7/100,0)</f>
        <v>0</v>
      </c>
      <c r="BZ7" s="7">
        <f>IF(BT7&gt;0,VLOOKUP(Variables!AQ7,[0]!WIRE,4)/100*2*BV7*2*VLOOKUP(Variables!AR7,[0]!MAT,4),0)</f>
        <v>0</v>
      </c>
      <c r="CA7" s="7">
        <f>(Variables!$W7-Variables!$C7)+(Variables!$X7-Variables!$B7)+(2*Variables!$Y7)</f>
        <v>0</v>
      </c>
      <c r="CB7" s="7">
        <f>IF(BT7&gt;0,VLOOKUP(Variables!AQ7,[0]!WIRE,VLOOKUP(Variables!AR7,[0]!MAT,3))*CA7/100,0)</f>
        <v>0</v>
      </c>
      <c r="CC7" s="7">
        <f>IF(BT7&gt;0,(((VLOOKUP(Variables!AQ7,[0]!WIRE,2))+Variables!AS7*2)*2)^2*BU7,0)</f>
        <v>0</v>
      </c>
      <c r="CD7" s="7">
        <f>IF(BT7&gt;0,VLOOKUP(Variables!AQ7,[0]!WIRE,4)/100*2*BU7*CA7*VLOOKUP(Variables!AR7,[0]!MAT,4)/1000,0)</f>
        <v>0</v>
      </c>
      <c r="CE7" s="7">
        <f>IF(BT7&gt;0,(VLOOKUP(Variables!AQ7,[0]!WIRE,2)+Variables!AS7)*PI()/10*Variables!AS7/10*CA7*BU7*VLOOKUP("PI",[0]!MAT,4)/1000,0)</f>
        <v>0</v>
      </c>
      <c r="CF7" s="7">
        <f t="shared" si="4"/>
        <v>0</v>
      </c>
      <c r="CG7" s="8">
        <f t="shared" si="26"/>
        <v>0</v>
      </c>
    </row>
    <row r="8" spans="1:85" x14ac:dyDescent="0.25">
      <c r="A8" t="s">
        <v>8</v>
      </c>
      <c r="B8" s="3">
        <f>Variables!E8*Variables!F8/1000</f>
        <v>0</v>
      </c>
      <c r="C8" s="3">
        <f>Results!B8+2*Variables!G8+Variables!H8</f>
        <v>0</v>
      </c>
      <c r="D8" s="3">
        <f>Variables!I8*Variables!J8/1000</f>
        <v>0</v>
      </c>
      <c r="E8" s="3">
        <f>Results!D8+2*Variables!K8+Variables!L8</f>
        <v>0</v>
      </c>
      <c r="F8" s="3">
        <f>C8*Variables!M8+(Variables!M8-1)*Variables!O8</f>
        <v>0</v>
      </c>
      <c r="G8" s="3">
        <f>E8*Variables!N8+(Variables!N8-1)*Variables!P8</f>
        <v>0</v>
      </c>
      <c r="H8" s="3">
        <f>(Variables!M8*Variables!E8-Variables!Q8)*Variables!F8/1000+((Variables!M8-1)*Variables!O8)</f>
        <v>0</v>
      </c>
      <c r="I8" s="3">
        <f>G8+Variables!R8</f>
        <v>0</v>
      </c>
      <c r="J8" s="14">
        <f>IF(H8&gt;0,ROUNDUP(2*PI()*Variables!B8*10/H8,0),0)</f>
        <v>0</v>
      </c>
      <c r="K8" s="7">
        <v>0</v>
      </c>
      <c r="L8" s="7">
        <f t="shared" si="27"/>
        <v>0</v>
      </c>
      <c r="M8" s="7">
        <f>2*PI()*2*Variables!B8*Variables!C8</f>
        <v>0</v>
      </c>
      <c r="N8" s="7">
        <f>Variables!M8*Variables!N8*B8*D8/1000000*L8</f>
        <v>0</v>
      </c>
      <c r="O8" s="8">
        <f t="shared" si="6"/>
        <v>0</v>
      </c>
      <c r="P8" s="14">
        <f>IF(Variables!V8&gt;0,ROUNDUP($K8*Variables!U8/Variables!V8,0),0)</f>
        <v>0</v>
      </c>
      <c r="Q8" s="7">
        <f t="shared" si="7"/>
        <v>0</v>
      </c>
      <c r="R8" s="7">
        <f t="array" ref="R8">IF(Variables!Z8&gt;0,ROUNDUP($K8/Variables!Z8,0)*$I8/2/10+SUM($I8/10*IF(INT((ROW(COUNTUP)+1)/Variables!Z8)=((ROW(COUNTUP)+1)/Variables!Z8),IF(ROW(COUNTUP)&lt;$K8,ROW(COUNTUP),0),0)),0)</f>
        <v>0</v>
      </c>
      <c r="S8" s="7">
        <f t="shared" si="8"/>
        <v>0</v>
      </c>
      <c r="T8" s="7">
        <f t="shared" si="9"/>
        <v>0</v>
      </c>
      <c r="U8" s="7">
        <f>IF(P8&gt;0,VLOOKUP(Variables!AE8,[0]!WIRE,VLOOKUP(Variables!AF8,[0]!MAT,3))*Variables!$C8/100,0)</f>
        <v>0</v>
      </c>
      <c r="V8" s="7">
        <f>IF(P8&gt;0,VLOOKUP(Variables!AE8,[0]!WIRE,4)/100*2*R8*2*VLOOKUP(Variables!AF8,[0]!MAT,4),0)</f>
        <v>0</v>
      </c>
      <c r="W8" s="7">
        <f>(Variables!$W8-Variables!$C8)+(Variables!$X8-Variables!$B8)+(2*Variables!$Y8)</f>
        <v>0</v>
      </c>
      <c r="X8" s="7">
        <f>IF(P8&gt;0,VLOOKUP(Variables!AE8,[0]!WIRE,VLOOKUP(Variables!AF8,[0]!MAT,3))*W8/100,0)</f>
        <v>0</v>
      </c>
      <c r="Y8" s="7">
        <f>IF(P8&gt;0,(((VLOOKUP(Variables!AE8,[0]!WIRE,2))+Variables!AG8*2)*2)^2*Q8,0)</f>
        <v>0</v>
      </c>
      <c r="Z8" s="7">
        <f>IF(P8&gt;0,VLOOKUP(Variables!AE8,[0]!WIRE,4)/100*2*Q8*W8*VLOOKUP(Variables!AF8,[0]!MAT,4)/1000,0)</f>
        <v>0</v>
      </c>
      <c r="AA8" s="7">
        <f>IF(P8&gt;0,(VLOOKUP(Variables!AE8,[0]!WIRE,2)+Variables!AG8)*PI()/10*Variables!AG8/10*W8*Q8*VLOOKUP("PI",[0]!MAT,4)/1000,0)</f>
        <v>0</v>
      </c>
      <c r="AB8" s="7">
        <f t="shared" si="0"/>
        <v>0</v>
      </c>
      <c r="AC8" s="7">
        <f t="shared" si="10"/>
        <v>0</v>
      </c>
      <c r="AD8" s="14">
        <f>IF(Variables!AA8&gt;0,ROUNDUP($K8/Variables!AA8,0),0)</f>
        <v>0</v>
      </c>
      <c r="AE8" s="7">
        <f t="shared" si="11"/>
        <v>0</v>
      </c>
      <c r="AF8" s="7">
        <f t="array" ref="AF8">IF(Variables!AA8&gt;0,ROUNDUP($K8/Variables!AA8,0)*$I8/2/10+SUM($I8/10*IF(INT((ROW(COUNTUP)+1)/Variables!AA8)=((ROW(COUNTUP)+1)/Variables!AA8),IF(ROW(COUNTUP)&lt;$K8,ROW(COUNTUP),0),0)),0)</f>
        <v>0</v>
      </c>
      <c r="AG8" s="7">
        <f t="shared" si="12"/>
        <v>0</v>
      </c>
      <c r="AH8" s="7">
        <f t="shared" si="13"/>
        <v>0</v>
      </c>
      <c r="AI8" s="7">
        <f>IF(AD8&gt;0,VLOOKUP(Variables!AH8,[0]!WIRE,VLOOKUP(Variables!AI8,[0]!MAT,3))*Variables!$C8/100,0)</f>
        <v>0</v>
      </c>
      <c r="AJ8" s="7">
        <f>IF(AD8&gt;0,VLOOKUP(Variables!AH8,[0]!WIRE,4)/100*2*AF8*2*VLOOKUP(Variables!AI8,[0]!MAT,4),0)</f>
        <v>0</v>
      </c>
      <c r="AK8" s="7">
        <f>(Variables!$W8-Variables!$C8)+(Variables!$X8-Variables!$B8)+(2*Variables!$Y8)</f>
        <v>0</v>
      </c>
      <c r="AL8" s="7">
        <f>IF(AD8&gt;0,VLOOKUP(Variables!AH8,[0]!WIRE,VLOOKUP(Variables!AI8,[0]!MAT,3))*AK8/100,0)</f>
        <v>0</v>
      </c>
      <c r="AM8" s="7">
        <f>IF(AD8&gt;0,(((VLOOKUP(Variables!AH8,[0]!WIRE,2))+Variables!AJ8*2)*2)^2*AE8,0)</f>
        <v>0</v>
      </c>
      <c r="AN8" s="7">
        <f>IF(AD8&gt;0,VLOOKUP(Variables!AH8,[0]!WIRE,4)/100*2*AE8*AK8*VLOOKUP(Variables!AI8,[0]!MAT,4)/1000,0)</f>
        <v>0</v>
      </c>
      <c r="AO8" s="7">
        <f>IF(AD8&gt;0,(VLOOKUP(Variables!AH8,[0]!WIRE,2)+Variables!AJ8)*PI()/10*Variables!AJ8/10*AK8*AE8*VLOOKUP("PI",[0]!MAT,4)/1000,0)</f>
        <v>0</v>
      </c>
      <c r="AP8" s="7">
        <f t="shared" si="1"/>
        <v>0</v>
      </c>
      <c r="AQ8" s="8">
        <f t="shared" si="14"/>
        <v>0</v>
      </c>
      <c r="AR8" s="14">
        <f>IF(Variables!AB8&gt;0,ROUNDUP($K8/Variables!AB8,0),0)</f>
        <v>0</v>
      </c>
      <c r="AS8" s="7">
        <f t="shared" si="15"/>
        <v>0</v>
      </c>
      <c r="AT8" s="7">
        <f t="array" ref="AT8">IF(Variables!AB8&gt;0,ROUNDUP($K8/Variables!AB8,0)*$I8/2/10+SUM($I8/10*IF(INT((ROW(COUNTUP)+1)/Variables!AB8)=((ROW(COUNTUP)+1)/Variables!AB8),IF(ROW(COUNTUP)&lt;$K8,ROW(COUNTUP),0),0)),0)</f>
        <v>0</v>
      </c>
      <c r="AU8" s="7">
        <f t="shared" si="16"/>
        <v>0</v>
      </c>
      <c r="AV8" s="7">
        <f t="shared" si="17"/>
        <v>0</v>
      </c>
      <c r="AW8" s="7">
        <f>IF(AR8&gt;0,VLOOKUP(Variables!AK8,[0]!WIRE,VLOOKUP(Variables!AL8,[0]!MAT,3))*Variables!$C8/100,0)</f>
        <v>0</v>
      </c>
      <c r="AX8" s="7">
        <f>IF(AR8&gt;0,VLOOKUP(Variables!AK8,[0]!WIRE,4)/100*2*AT8*2*VLOOKUP(Variables!AL8,[0]!MAT,4),0)</f>
        <v>0</v>
      </c>
      <c r="AY8" s="7">
        <f>(Variables!$W8-Variables!$C8)+(Variables!$X8-Variables!$B8)+(2*Variables!$Y8)</f>
        <v>0</v>
      </c>
      <c r="AZ8" s="7">
        <f>IF(AR8&gt;0,VLOOKUP(Variables!AK8,[0]!WIRE,VLOOKUP(Variables!AL8,[0]!MAT,3))*AY8/100,0)</f>
        <v>0</v>
      </c>
      <c r="BA8" s="7">
        <f>IF(AR8&gt;0,(((VLOOKUP(Variables!AK8,[0]!WIRE,2))+Variables!AM8*2)*2)^2*AS8,0)</f>
        <v>0</v>
      </c>
      <c r="BB8" s="7">
        <f>IF(AR8&gt;0,VLOOKUP(Variables!AK8,[0]!WIRE,4)/100*2*AS8*AY8*VLOOKUP(Variables!AL8,[0]!MAT,4)/1000,0)</f>
        <v>0</v>
      </c>
      <c r="BC8" s="7">
        <f>IF(AR8&gt;0,(VLOOKUP(Variables!AK8,[0]!WIRE,2)+Variables!AM8)*PI()/10*Variables!AM8/10*AY8*AS8*VLOOKUP("PI",[0]!MAT,4)/1000,0)</f>
        <v>0</v>
      </c>
      <c r="BD8" s="7">
        <f t="shared" si="2"/>
        <v>0</v>
      </c>
      <c r="BE8" s="8">
        <f t="shared" si="18"/>
        <v>0</v>
      </c>
      <c r="BF8" s="14">
        <f>IF(Variables!AC8&gt;0,ROUNDUP($K8/Variables!AC8,0),0)</f>
        <v>0</v>
      </c>
      <c r="BG8" s="7">
        <f t="shared" si="19"/>
        <v>0</v>
      </c>
      <c r="BH8" s="7">
        <f t="array" ref="BH8">IF(Variables!AC8&gt;0,ROUNDUP($K8/Variables!AC8,0)*$I8/2/10+SUM($I8/10*IF(INT((ROW(COUNTUP)+1)/Variables!AC8)=((ROW(COUNTUP)+1)/Variables!AC8),IF(ROW(COUNTUP)&lt;$K8,ROW(COUNTUP),0),0)),0)</f>
        <v>0</v>
      </c>
      <c r="BI8" s="7">
        <f t="shared" si="20"/>
        <v>0</v>
      </c>
      <c r="BJ8" s="7">
        <f t="shared" si="21"/>
        <v>0</v>
      </c>
      <c r="BK8" s="7">
        <f>IF(BF8&gt;0,VLOOKUP(Variables!AN8,[0]!WIRE,VLOOKUP(Variables!AO8,[0]!MAT,3))*Variables!$C8/100,0)</f>
        <v>0</v>
      </c>
      <c r="BL8" s="7">
        <f>IF(BF8&gt;0,VLOOKUP(Variables!AN8,[0]!WIRE,4)/100*2*BH8*2*VLOOKUP(Variables!AO8,[0]!MAT,4),0)</f>
        <v>0</v>
      </c>
      <c r="BM8" s="7">
        <f>(Variables!$W8-Variables!$C8)+(Variables!$X8-Variables!$B8)+(2*Variables!$Y8)</f>
        <v>0</v>
      </c>
      <c r="BN8" s="7">
        <f>IF(BF8&gt;0,VLOOKUP(Variables!AN8,[0]!WIRE,VLOOKUP(Variables!AO8,[0]!MAT,3))*BM8/100,0)</f>
        <v>0</v>
      </c>
      <c r="BO8" s="7">
        <f>IF(BF8&gt;0,(((VLOOKUP(Variables!AN8,[0]!WIRE,2))+Variables!AP8*2)*2)^2*BG8,0)</f>
        <v>0</v>
      </c>
      <c r="BP8" s="7">
        <f>IF(BF8&gt;0,VLOOKUP(Variables!AN8,[0]!WIRE,4)/100*2*BG8*BM8*VLOOKUP(Variables!AO8,[0]!MAT,4)/1000,0)</f>
        <v>0</v>
      </c>
      <c r="BQ8" s="7">
        <f>IF(BF8&gt;0,(VLOOKUP(Variables!AN8,[0]!WIRE,2)+Variables!AP8)*PI()/10*Variables!AP8/10*BM8*BG8*VLOOKUP("PI",[0]!MAT,4)/1000,0)</f>
        <v>0</v>
      </c>
      <c r="BR8" s="7">
        <f t="shared" si="3"/>
        <v>0</v>
      </c>
      <c r="BS8" s="8">
        <f t="shared" si="22"/>
        <v>0</v>
      </c>
      <c r="BT8" s="14">
        <f>IF(Variables!AD8&gt;0,ROUNDUP($K8/Variables!AD8,0),0)</f>
        <v>0</v>
      </c>
      <c r="BU8" s="7">
        <f t="shared" si="23"/>
        <v>0</v>
      </c>
      <c r="BV8" s="7">
        <f t="array" ref="BV8">IF(Variables!AD8&gt;0,ROUNDUP($K8/Variables!AD8,0)*$I8/2/10+SUM($I8/10*IF(INT((ROW(COUNTUP)+1)/Variables!AD8)=((ROW(COUNTUP)+1)/Variables!AD8),IF(ROW(COUNTUP)&lt;$K8,ROW(COUNTUP),0),0)),0)</f>
        <v>0</v>
      </c>
      <c r="BW8" s="7">
        <f t="shared" si="24"/>
        <v>0</v>
      </c>
      <c r="BX8" s="7">
        <f t="shared" si="25"/>
        <v>0</v>
      </c>
      <c r="BY8" s="7">
        <f>IF(BT8&gt;0,VLOOKUP(Variables!AQ8,[0]!WIRE,VLOOKUP(Variables!AR8,[0]!MAT,3))*Variables!$C8/100,0)</f>
        <v>0</v>
      </c>
      <c r="BZ8" s="7">
        <f>IF(BT8&gt;0,VLOOKUP(Variables!AQ8,[0]!WIRE,4)/100*2*BV8*2*VLOOKUP(Variables!AR8,[0]!MAT,4),0)</f>
        <v>0</v>
      </c>
      <c r="CA8" s="7">
        <f>(Variables!$W8-Variables!$C8)+(Variables!$X8-Variables!$B8)+(2*Variables!$Y8)</f>
        <v>0</v>
      </c>
      <c r="CB8" s="7">
        <f>IF(BT8&gt;0,VLOOKUP(Variables!AQ8,[0]!WIRE,VLOOKUP(Variables!AR8,[0]!MAT,3))*CA8/100,0)</f>
        <v>0</v>
      </c>
      <c r="CC8" s="7">
        <f>IF(BT8&gt;0,(((VLOOKUP(Variables!AQ8,[0]!WIRE,2))+Variables!AS8*2)*2)^2*BU8,0)</f>
        <v>0</v>
      </c>
      <c r="CD8" s="7">
        <f>IF(BT8&gt;0,VLOOKUP(Variables!AQ8,[0]!WIRE,4)/100*2*BU8*CA8*VLOOKUP(Variables!AR8,[0]!MAT,4)/1000,0)</f>
        <v>0</v>
      </c>
      <c r="CE8" s="7">
        <f>IF(BT8&gt;0,(VLOOKUP(Variables!AQ8,[0]!WIRE,2)+Variables!AS8)*PI()/10*Variables!AS8/10*CA8*BU8*VLOOKUP("PI",[0]!MAT,4)/1000,0)</f>
        <v>0</v>
      </c>
      <c r="CF8" s="7">
        <f t="shared" si="4"/>
        <v>0</v>
      </c>
      <c r="CG8" s="8">
        <f t="shared" si="26"/>
        <v>0</v>
      </c>
    </row>
    <row r="9" spans="1:85" ht="15" customHeight="1" x14ac:dyDescent="0.25">
      <c r="L9" s="10">
        <f>SUM(L3:L8)</f>
        <v>3774</v>
      </c>
      <c r="M9" s="10">
        <f>SUM(M3:M8)</f>
        <v>4.6517750917263285</v>
      </c>
      <c r="N9" s="10">
        <f>SUM(N3:N8)</f>
        <v>4.830336</v>
      </c>
      <c r="Q9" s="10">
        <f>SUM(Q3:Q8)</f>
        <v>1968</v>
      </c>
      <c r="T9" s="10">
        <f>SUM(T3:T6)</f>
        <v>1348.9608000000001</v>
      </c>
      <c r="V9" s="10">
        <f>SUM(V3:V6)</f>
        <v>44.346244391751547</v>
      </c>
      <c r="Y9" s="10">
        <f>SUM(Y3:Y6)</f>
        <v>1395.2411520000003</v>
      </c>
      <c r="Z9" s="10">
        <f>SUM(Z3:Z6)</f>
        <v>8.6390514249598098</v>
      </c>
      <c r="AA9" s="10">
        <f>SUM(AA3:AA6)</f>
        <v>0.49406117806468686</v>
      </c>
      <c r="AB9" s="10">
        <f>SUM(AB3:AB8)</f>
        <v>5.9703336</v>
      </c>
      <c r="AC9" s="10">
        <f>SUM(AC3:AC8)</f>
        <v>11.9406672</v>
      </c>
      <c r="AE9" s="10">
        <f>SUM(AE3:AE8)</f>
        <v>218</v>
      </c>
      <c r="AF9" s="9"/>
      <c r="AG9" s="9"/>
      <c r="AH9" s="10">
        <f>SUM(AH3:AH6)</f>
        <v>298.33100000000002</v>
      </c>
      <c r="AI9" s="9"/>
      <c r="AJ9" s="10">
        <f>SUM(AJ3:AJ6)</f>
        <v>1.1984022045414728</v>
      </c>
      <c r="AK9" s="9"/>
      <c r="AL9" s="9"/>
      <c r="AM9" s="10">
        <f>SUM(AM3:AM6)</f>
        <v>44.933288000000005</v>
      </c>
      <c r="AN9" s="10">
        <f>SUM(AN3:AN6)</f>
        <v>0.14759816904841858</v>
      </c>
      <c r="AO9" s="10">
        <f>SUM(AO3:AO6)</f>
        <v>2.5727501971055729E-2</v>
      </c>
      <c r="AP9" s="10">
        <f>SUM(AP3:AP8)</f>
        <v>0.65165260000000003</v>
      </c>
      <c r="AQ9" s="11">
        <f>SUM(AQ3:AQ8)</f>
        <v>1.3033052000000001</v>
      </c>
      <c r="AR9" s="15"/>
      <c r="AS9" s="10">
        <f>SUM(AS3:AS8)</f>
        <v>218</v>
      </c>
      <c r="AT9" s="9"/>
      <c r="AU9" s="9"/>
      <c r="AV9" s="10">
        <f>SUM(AV3:AV6)</f>
        <v>298.33100000000002</v>
      </c>
      <c r="AW9" s="9"/>
      <c r="AX9" s="10">
        <f>SUM(AX3:AX6)</f>
        <v>3.0317814839178037</v>
      </c>
      <c r="AY9" s="9"/>
      <c r="AZ9" s="9"/>
      <c r="BA9" s="10">
        <f>SUM(BA3:BA6)</f>
        <v>140.91868800000003</v>
      </c>
      <c r="BB9" s="10">
        <f>SUM(BB3:BB6)</f>
        <v>0.3734016795741627</v>
      </c>
      <c r="BC9" s="10">
        <f>SUM(BC3:BC6)</f>
        <v>8.7793283562246693E-2</v>
      </c>
      <c r="BD9" s="10">
        <f>SUM(BD3:BD8)</f>
        <v>0.65165260000000003</v>
      </c>
      <c r="BE9" s="11">
        <f>SUM(BE3:BE8)</f>
        <v>1.3033052000000001</v>
      </c>
      <c r="BF9" s="15"/>
      <c r="BG9" s="10">
        <f>SUM(BG3:BG8)</f>
        <v>218</v>
      </c>
      <c r="BH9" s="9"/>
      <c r="BI9" s="9"/>
      <c r="BJ9" s="10">
        <f>SUM(BJ3:BJ6)</f>
        <v>298.33100000000002</v>
      </c>
      <c r="BK9" s="9"/>
      <c r="BL9" s="10">
        <f>SUM(BL3:BL6)</f>
        <v>3.0317814839178037</v>
      </c>
      <c r="BM9" s="9"/>
      <c r="BN9" s="9"/>
      <c r="BO9" s="10">
        <f>SUM(BO3:BO6)</f>
        <v>79.529888000000028</v>
      </c>
      <c r="BP9" s="10">
        <f>SUM(BP3:BP6)</f>
        <v>0.3734016795741627</v>
      </c>
      <c r="BQ9" s="10">
        <f>SUM(BQ3:BQ6)</f>
        <v>3.6628985857096286E-2</v>
      </c>
      <c r="BR9" s="10">
        <f>SUM(BR3:BR8)</f>
        <v>0.65165260000000003</v>
      </c>
      <c r="BS9" s="11">
        <f>SUM(BS3:BS8)</f>
        <v>1.3033052000000001</v>
      </c>
      <c r="BT9" s="15"/>
      <c r="BU9" s="10">
        <f>SUM(BU3:BU8)</f>
        <v>218</v>
      </c>
      <c r="BV9" s="9"/>
      <c r="BW9" s="9"/>
      <c r="BX9" s="10">
        <f>SUM(BX3:BX6)</f>
        <v>298.33100000000002</v>
      </c>
      <c r="BY9" s="9"/>
      <c r="BZ9" s="10">
        <f>SUM(BZ3:BZ6)</f>
        <v>11.48853593316456</v>
      </c>
      <c r="CA9" s="9"/>
      <c r="CB9" s="9"/>
      <c r="CC9" s="10">
        <f>SUM(CC3:CC6)</f>
        <v>482.68339200000003</v>
      </c>
      <c r="CD9" s="10">
        <f>SUM(CD3:CD6)</f>
        <v>1.414956399742981</v>
      </c>
      <c r="CE9" s="10">
        <f>SUM(CE3:CE6)</f>
        <v>0.10087506422549539</v>
      </c>
      <c r="CF9" s="10">
        <f>SUM(CF3:CF8)</f>
        <v>0.65165260000000003</v>
      </c>
      <c r="CG9" s="11">
        <f>SUM(CG3:CG8)</f>
        <v>1.3033052000000001</v>
      </c>
    </row>
    <row r="10" spans="1:85" ht="47.25" x14ac:dyDescent="0.25">
      <c r="A10" t="s">
        <v>12</v>
      </c>
      <c r="B10" s="2" t="s">
        <v>133</v>
      </c>
      <c r="C10" s="2" t="s">
        <v>134</v>
      </c>
      <c r="D10" s="2" t="s">
        <v>28</v>
      </c>
      <c r="E10" s="2" t="s">
        <v>29</v>
      </c>
      <c r="F10" s="2" t="s">
        <v>135</v>
      </c>
      <c r="G10" s="2" t="s">
        <v>25</v>
      </c>
      <c r="H10" s="2" t="s">
        <v>136</v>
      </c>
      <c r="I10" s="2" t="s">
        <v>35</v>
      </c>
      <c r="J10" s="15" t="s">
        <v>138</v>
      </c>
      <c r="K10" s="20" t="s">
        <v>140</v>
      </c>
      <c r="L10" s="20" t="s">
        <v>40</v>
      </c>
      <c r="M10" s="5" t="s">
        <v>41</v>
      </c>
      <c r="N10" s="5" t="s">
        <v>42</v>
      </c>
      <c r="O10" s="6" t="s">
        <v>43</v>
      </c>
      <c r="P10" s="13" t="s">
        <v>142</v>
      </c>
      <c r="Q10" s="5" t="s">
        <v>99</v>
      </c>
      <c r="R10" s="5" t="s">
        <v>156</v>
      </c>
      <c r="S10" s="5" t="s">
        <v>58</v>
      </c>
      <c r="T10" s="5" t="s">
        <v>66</v>
      </c>
      <c r="U10" s="5" t="s">
        <v>108</v>
      </c>
      <c r="V10" s="5" t="s">
        <v>109</v>
      </c>
      <c r="W10" s="5" t="s">
        <v>56</v>
      </c>
      <c r="X10" s="5" t="s">
        <v>88</v>
      </c>
      <c r="Y10" s="5" t="s">
        <v>100</v>
      </c>
      <c r="Z10" s="5" t="s">
        <v>98</v>
      </c>
      <c r="AA10" s="5" t="s">
        <v>105</v>
      </c>
      <c r="AB10" s="5" t="s">
        <v>57</v>
      </c>
      <c r="AC10" s="5" t="s">
        <v>67</v>
      </c>
      <c r="AD10" s="13" t="s">
        <v>145</v>
      </c>
      <c r="AE10" s="5" t="s">
        <v>146</v>
      </c>
      <c r="AF10" s="5" t="s">
        <v>59</v>
      </c>
      <c r="AG10" s="5" t="s">
        <v>58</v>
      </c>
      <c r="AH10" s="5" t="s">
        <v>66</v>
      </c>
      <c r="AI10" s="5" t="s">
        <v>108</v>
      </c>
      <c r="AJ10" s="5" t="s">
        <v>109</v>
      </c>
      <c r="AK10" s="5" t="s">
        <v>56</v>
      </c>
      <c r="AL10" s="5" t="s">
        <v>88</v>
      </c>
      <c r="AM10" s="5" t="s">
        <v>100</v>
      </c>
      <c r="AN10" s="5" t="s">
        <v>98</v>
      </c>
      <c r="AO10" s="5" t="s">
        <v>105</v>
      </c>
      <c r="AP10" s="5" t="s">
        <v>57</v>
      </c>
      <c r="AQ10" s="6" t="s">
        <v>67</v>
      </c>
      <c r="AR10" s="13" t="s">
        <v>152</v>
      </c>
      <c r="AS10" s="5" t="s">
        <v>147</v>
      </c>
      <c r="AT10" s="5" t="s">
        <v>59</v>
      </c>
      <c r="AU10" s="5" t="s">
        <v>58</v>
      </c>
      <c r="AV10" s="5" t="s">
        <v>66</v>
      </c>
      <c r="AW10" s="5" t="s">
        <v>108</v>
      </c>
      <c r="AX10" s="5" t="s">
        <v>109</v>
      </c>
      <c r="AY10" s="5" t="s">
        <v>56</v>
      </c>
      <c r="AZ10" s="5" t="s">
        <v>88</v>
      </c>
      <c r="BA10" s="5" t="s">
        <v>100</v>
      </c>
      <c r="BB10" s="5" t="s">
        <v>98</v>
      </c>
      <c r="BC10" s="5" t="s">
        <v>105</v>
      </c>
      <c r="BD10" s="5" t="s">
        <v>57</v>
      </c>
      <c r="BE10" s="6" t="s">
        <v>67</v>
      </c>
      <c r="BF10" s="13" t="s">
        <v>153</v>
      </c>
      <c r="BG10" s="5" t="s">
        <v>148</v>
      </c>
      <c r="BH10" s="5" t="s">
        <v>59</v>
      </c>
      <c r="BI10" s="5" t="s">
        <v>58</v>
      </c>
      <c r="BJ10" s="5" t="s">
        <v>66</v>
      </c>
      <c r="BK10" s="5" t="s">
        <v>108</v>
      </c>
      <c r="BL10" s="5" t="s">
        <v>109</v>
      </c>
      <c r="BM10" s="5" t="s">
        <v>56</v>
      </c>
      <c r="BN10" s="5" t="s">
        <v>88</v>
      </c>
      <c r="BO10" s="5" t="s">
        <v>100</v>
      </c>
      <c r="BP10" s="5" t="s">
        <v>98</v>
      </c>
      <c r="BQ10" s="5" t="s">
        <v>105</v>
      </c>
      <c r="BR10" s="5" t="s">
        <v>57</v>
      </c>
      <c r="BS10" s="6" t="s">
        <v>67</v>
      </c>
      <c r="BT10" s="13" t="s">
        <v>154</v>
      </c>
      <c r="BU10" s="5" t="s">
        <v>150</v>
      </c>
      <c r="BV10" s="5" t="s">
        <v>59</v>
      </c>
      <c r="BW10" s="5" t="s">
        <v>58</v>
      </c>
      <c r="BX10" s="5" t="s">
        <v>66</v>
      </c>
      <c r="BY10" s="5" t="s">
        <v>108</v>
      </c>
      <c r="BZ10" s="5" t="s">
        <v>109</v>
      </c>
      <c r="CA10" s="5" t="s">
        <v>56</v>
      </c>
      <c r="CB10" s="5" t="s">
        <v>88</v>
      </c>
      <c r="CC10" s="5" t="s">
        <v>100</v>
      </c>
      <c r="CD10" s="5" t="s">
        <v>98</v>
      </c>
      <c r="CE10" s="5" t="s">
        <v>105</v>
      </c>
      <c r="CF10" s="5" t="s">
        <v>57</v>
      </c>
      <c r="CG10" s="6" t="s">
        <v>67</v>
      </c>
    </row>
    <row r="11" spans="1:85" x14ac:dyDescent="0.25">
      <c r="A11" t="s">
        <v>13</v>
      </c>
      <c r="B11" s="3">
        <f>Variables!E10*Variables!F10/1000</f>
        <v>20</v>
      </c>
      <c r="C11" s="3">
        <f>Results!B11+2*Variables!G10+Variables!H10</f>
        <v>20.2</v>
      </c>
      <c r="D11" s="3">
        <f>Variables!I10*Variables!J10/1000</f>
        <v>16.8</v>
      </c>
      <c r="E11" s="3">
        <f>Results!D11+2*Variables!K10+Variables!L10</f>
        <v>18.8</v>
      </c>
      <c r="F11" s="3">
        <f>C11*Variables!M10+(Variables!M10-1)*Variables!O10</f>
        <v>40.5</v>
      </c>
      <c r="G11" s="3">
        <f>E11*Variables!N10+(Variables!N10-1)*Variables!P10</f>
        <v>37.700000000000003</v>
      </c>
      <c r="H11" s="3">
        <f>B11*Variables!M10+(Variables!M10-1)*Variables!O10</f>
        <v>40.1</v>
      </c>
      <c r="I11" s="3">
        <f>D11*Variables!N10+(Variables!N10-1)*Variables!P10+Variables!Q10</f>
        <v>34.700000000000003</v>
      </c>
      <c r="J11" s="14">
        <f>ROUNDUP((Variables!D10-Variables!C10)/(Results!H11/10),0)</f>
        <v>5</v>
      </c>
      <c r="K11" s="7">
        <f t="array" ref="K11">SUM(IF(ROW(COUNTUP)&lt;=J11,ROUNDUP((2*PI()*(Variables!C10+ROW(COUNTUP)*H11/10)/(I11/10)),0),0))</f>
        <v>247</v>
      </c>
      <c r="L11" s="7">
        <f>K11*2</f>
        <v>494</v>
      </c>
      <c r="M11" s="7">
        <f>2*PI()*(Variables!D10^2-Variables!C10^2)/10000</f>
        <v>0.48188883430228535</v>
      </c>
      <c r="N11" s="7">
        <f>Variables!M10*Variables!N10*B11*D11/1000000*L11</f>
        <v>0.66393599999999997</v>
      </c>
      <c r="O11" s="8">
        <f>IF(M11&gt;0,ROUND((N11/M11-1)*100,1),0)</f>
        <v>37.799999999999997</v>
      </c>
      <c r="P11" s="14">
        <f>ROUNDUP(Variables!U10/Variables!V10*K11,0)</f>
        <v>62</v>
      </c>
      <c r="Q11" s="7">
        <f>P11*2</f>
        <v>124</v>
      </c>
      <c r="R11" s="7">
        <f t="array" ref="R11">SUM(IF(ROW(COUNTUP)&lt;=$J11,$I11/20+ROW(COUNTUP)*$I11/10,0))</f>
        <v>60.725000000000001</v>
      </c>
      <c r="S11" s="7">
        <f>R11*2/100*$P11/$J11</f>
        <v>15.059800000000001</v>
      </c>
      <c r="T11" s="7">
        <f>S11*2</f>
        <v>30.119600000000002</v>
      </c>
      <c r="U11" s="7">
        <f>IF(P11&gt;0,VLOOKUP(Variables!AE10,[0]!WIRE,VLOOKUP(Variables!AF10,[0]!MAT,3))*Variables!$C10/100,0)</f>
        <v>3.301419775460751E-2</v>
      </c>
      <c r="V11" s="7">
        <f>IF(P11&gt;0,VLOOKUP(Variables!AE10,[0]!WIRE,4)/100*2*R11*2*VLOOKUP(Variables!AF10,[0]!MAT,4),0)</f>
        <v>1.7573771682730912</v>
      </c>
      <c r="W11" s="7">
        <f>(Variables!$W10-Variables!$B10)+(Variables!$X10-Variables!$D10)+(2*Variables!$Y10)</f>
        <v>265.8</v>
      </c>
      <c r="X11" s="7">
        <f>IF(P11&gt;0,VLOOKUP(Variables!AE10,[0]!WIRE,VLOOKUP(Variables!AF10,[0]!MAT,3))*W11/100,0)</f>
        <v>0.5846218363207647</v>
      </c>
      <c r="Y11" s="7">
        <f>IF(P11&gt;0,(((VLOOKUP(Variables!AE10,[0]!WIRE,2))+Variables!AG10*2)*2)^2*Q11,0)</f>
        <v>87.911536000000012</v>
      </c>
      <c r="Z11" s="7">
        <f>IF(P11&gt;0,VLOOKUP(Variables!AE10,[0]!WIRE,4)/100*2*Q11*W11*VLOOKUP(Variables!AF10,[0]!MAT,4)/1000,0)</f>
        <v>0.47691844845242043</v>
      </c>
      <c r="AA11" s="7">
        <f>IF(P11&gt;0,(VLOOKUP(Variables!AE10,[0]!WIRE,2)+Variables!AG10)*PI()/10*Variables!AG10/10*W11*Q11*VLOOKUP("PI",[0]!MAT,4)/1000,0)</f>
        <v>2.7274625290736893E-2</v>
      </c>
      <c r="AB11" s="7">
        <f t="shared" ref="AB11" si="28">W11*Q11/100/1000</f>
        <v>0.32959200000000005</v>
      </c>
      <c r="AC11" s="7">
        <f>AB11*2</f>
        <v>0.6591840000000001</v>
      </c>
      <c r="AD11" s="14">
        <f>IF(Variables!AA10&gt;0,ROUNDUP($K11/Variables!AA10,0),0)</f>
        <v>62</v>
      </c>
      <c r="AE11" s="7">
        <f>AD11*2</f>
        <v>124</v>
      </c>
      <c r="AF11" s="7">
        <f t="array" ref="AF11">SUM(IF(ROW(COUNTUP)&lt;=$J11,$I11/20+ROW(COUNTUP)*$I11/10,0))</f>
        <v>60.725000000000001</v>
      </c>
      <c r="AG11" s="7">
        <f>AF11*2/100*$P11/$J11</f>
        <v>15.059800000000001</v>
      </c>
      <c r="AH11" s="7">
        <f>AG11*2</f>
        <v>30.119600000000002</v>
      </c>
      <c r="AI11" s="7">
        <f>IF(AD11&gt;0,VLOOKUP(Variables!AH10,[0]!WIRE,VLOOKUP(Variables!AI10,[0]!MAT,3))*Variables!$C10/100,0)</f>
        <v>0.21091301077763736</v>
      </c>
      <c r="AJ11" s="7">
        <f>IF(AD11&gt;0,VLOOKUP(Variables!AH10,[0]!WIRE,4)/100*2*AF11*2*VLOOKUP(Variables!AI10,[0]!MAT,4),0)</f>
        <v>0.27508211631366825</v>
      </c>
      <c r="AK11" s="7">
        <f>(Variables!$W10-Variables!$B10)+(Variables!$X10-Variables!$D10)+(2*Variables!$Y10)</f>
        <v>265.8</v>
      </c>
      <c r="AL11" s="7">
        <f>IF(AD11&gt;0,VLOOKUP(Variables!AH10,[0]!WIRE,VLOOKUP(Variables!AI10,[0]!MAT,3))*AK11/100,0)</f>
        <v>3.7348886252295808</v>
      </c>
      <c r="AM11" s="7">
        <f>IF(AD11&gt;0,(((VLOOKUP(Variables!AH10,[0]!WIRE,2))+Variables!AJ10*2)*2)^2*AE11,0)</f>
        <v>25.558384000000004</v>
      </c>
      <c r="AN11" s="7">
        <f>IF(AD11&gt;0,VLOOKUP(Variables!AH10,[0]!WIRE,4)/100*2*AE11*AK11*VLOOKUP(Variables!AI10,[0]!MAT,4)/1000,0)</f>
        <v>7.4652008958464022E-2</v>
      </c>
      <c r="AO11" s="7">
        <f>IF(AD11&gt;0,(VLOOKUP(Variables!AH10,[0]!WIRE,2)+Variables!AJ10)*PI()/10*Variables!AJ10/10*AK11*AE11*VLOOKUP("PI",[0]!MAT,4)/1000,0)</f>
        <v>1.3012422308518679E-2</v>
      </c>
      <c r="AP11" s="7">
        <f t="shared" ref="AP11" si="29">AK11*AE11/100/1000</f>
        <v>0.32959200000000005</v>
      </c>
      <c r="AQ11" s="8">
        <f>AP11*2</f>
        <v>0.6591840000000001</v>
      </c>
      <c r="AR11" s="14">
        <f>IF(Variables!AB10&gt;0,ROUNDUP($K11/Variables!AB10,0),0)</f>
        <v>62</v>
      </c>
      <c r="AS11" s="7">
        <f>AR11*2</f>
        <v>124</v>
      </c>
      <c r="AT11" s="7">
        <f t="array" ref="AT11">SUM(IF(ROW(COUNTUP)&lt;=$J11,$I11/20+ROW(COUNTUP)*$I11/10,0))</f>
        <v>60.725000000000001</v>
      </c>
      <c r="AU11" s="7">
        <f>AT11*2/100*$P11/$J11</f>
        <v>15.059800000000001</v>
      </c>
      <c r="AV11" s="7">
        <f>AU11*2</f>
        <v>30.119600000000002</v>
      </c>
      <c r="AW11" s="7">
        <f>IF(AR11&gt;0,VLOOKUP(Variables!AK10,[0]!WIRE,VLOOKUP(Variables!AL10,[0]!MAT,3))*Variables!$C10/100,0)</f>
        <v>8.3369668435264013E-2</v>
      </c>
      <c r="AX11" s="7">
        <f>IF(AR11&gt;0,VLOOKUP(Variables!AK10,[0]!WIRE,4)/100*2*AT11*2*VLOOKUP(Variables!AL10,[0]!MAT,4),0)</f>
        <v>0.69591733362656827</v>
      </c>
      <c r="AY11" s="7">
        <f>(Variables!$W10-Variables!$B10)+(Variables!$X10-Variables!$D10)+(2*Variables!$Y10)</f>
        <v>265.8</v>
      </c>
      <c r="AZ11" s="7">
        <f>IF(AR11&gt;0,VLOOKUP(Variables!AK10,[0]!WIRE,VLOOKUP(Variables!AL10,[0]!MAT,3))*AY11/100,0)</f>
        <v>1.4763263071347885</v>
      </c>
      <c r="BA11" s="7">
        <f>IF(AR11&gt;0,(((VLOOKUP(Variables!AK10,[0]!WIRE,2))+Variables!AM10*2)*2)^2*AS11,0)</f>
        <v>80.155584000000019</v>
      </c>
      <c r="BB11" s="7">
        <f>IF(AR11&gt;0,VLOOKUP(Variables!AK10,[0]!WIRE,4)/100*2*AS11*AY11*VLOOKUP(Variables!AL10,[0]!MAT,4)/1000,0)</f>
        <v>0.1888586132767788</v>
      </c>
      <c r="BC11" s="7">
        <f>IF(AR11&gt;0,(VLOOKUP(Variables!AK10,[0]!WIRE,2)+Variables!AM10)*PI()/10*Variables!AM10/10*AY11*AS11*VLOOKUP("PI",[0]!MAT,4)/1000,0)</f>
        <v>4.4403972171442284E-2</v>
      </c>
      <c r="BD11" s="7">
        <f t="shared" ref="BD11" si="30">AY11*AS11/100/1000</f>
        <v>0.32959200000000005</v>
      </c>
      <c r="BE11" s="8">
        <f>BD11*2</f>
        <v>0.6591840000000001</v>
      </c>
      <c r="BF11" s="14">
        <f>IF(Variables!AC10&gt;0,ROUNDUP($K11/Variables!AC10,0),0)</f>
        <v>42</v>
      </c>
      <c r="BG11" s="7">
        <f>BF11*2</f>
        <v>84</v>
      </c>
      <c r="BH11" s="7">
        <f t="array" ref="BH11">SUM(IF(ROW(COUNTUP)&lt;=$J11,$I11/20+ROW(COUNTUP)*$I11/10,0))</f>
        <v>60.725000000000001</v>
      </c>
      <c r="BI11" s="7">
        <f>BH11*2/100*$P11/$J11</f>
        <v>15.059800000000001</v>
      </c>
      <c r="BJ11" s="7">
        <f>BI11*2</f>
        <v>30.119600000000002</v>
      </c>
      <c r="BK11" s="7">
        <f>IF(BF11&gt;0,VLOOKUP(Variables!AN10,[0]!WIRE,VLOOKUP(Variables!AO10,[0]!MAT,3))*Variables!$C10/100,0)</f>
        <v>8.3369668435264013E-2</v>
      </c>
      <c r="BL11" s="7">
        <f>IF(BF11&gt;0,VLOOKUP(Variables!AN10,[0]!WIRE,4)/100*2*BH11*2*VLOOKUP(Variables!AO10,[0]!MAT,4),0)</f>
        <v>0.69591733362656827</v>
      </c>
      <c r="BM11" s="7">
        <f>(Variables!$W10-Variables!$B10)+(Variables!$X10-Variables!$D10)+(2*Variables!$Y10)</f>
        <v>265.8</v>
      </c>
      <c r="BN11" s="7">
        <f>IF(BF11&gt;0,VLOOKUP(Variables!AN10,[0]!WIRE,VLOOKUP(Variables!AO10,[0]!MAT,3))*BM11/100,0)</f>
        <v>1.4763263071347885</v>
      </c>
      <c r="BO11" s="7">
        <f>IF(BF11&gt;0,(((VLOOKUP(Variables!AN10,[0]!WIRE,2))+Variables!AP10*2)*2)^2*BG11,0)</f>
        <v>30.644544000000007</v>
      </c>
      <c r="BP11" s="7">
        <f>IF(BF11&gt;0,VLOOKUP(Variables!AN10,[0]!WIRE,4)/100*2*BG11*BM11*VLOOKUP(Variables!AO10,[0]!MAT,4)/1000,0)</f>
        <v>0.12793647996168889</v>
      </c>
      <c r="BQ11" s="7">
        <f>IF(BF11&gt;0,(VLOOKUP(Variables!AN10,[0]!WIRE,2)+Variables!AP10)*PI()/10*Variables!AP10/10*BM11*BG11*VLOOKUP("PI",[0]!MAT,4)/1000,0)</f>
        <v>1.2549979744246554E-2</v>
      </c>
      <c r="BR11" s="7">
        <f t="shared" ref="BR11" si="31">BM11*BG11/100/1000</f>
        <v>0.22327200000000003</v>
      </c>
      <c r="BS11" s="8">
        <f>BR11*2</f>
        <v>0.44654400000000005</v>
      </c>
      <c r="BT11" s="14">
        <f>IF(Variables!AD10&gt;0,ROUNDUP($K11/Variables!AD10,0),0)</f>
        <v>42</v>
      </c>
      <c r="BU11" s="7">
        <f>BT11*2</f>
        <v>84</v>
      </c>
      <c r="BV11" s="7">
        <f t="array" ref="BV11">SUM(IF(ROW(COUNTUP)&lt;=$J11,$I11/20+ROW(COUNTUP)*$I11/10,0))</f>
        <v>60.725000000000001</v>
      </c>
      <c r="BW11" s="7">
        <f>BV11*2/100*$P11/$J11</f>
        <v>15.059800000000001</v>
      </c>
      <c r="BX11" s="7">
        <f>BW11*2</f>
        <v>30.119600000000002</v>
      </c>
      <c r="BY11" s="7">
        <f>IF(BT11&gt;0,VLOOKUP(Variables!AQ10,[0]!WIRE,VLOOKUP(Variables!AR10,[0]!MAT,3))*Variables!$C10/100,0)</f>
        <v>1.2626112045286863E-2</v>
      </c>
      <c r="BZ11" s="7">
        <f>IF(BT11&gt;0,VLOOKUP(Variables!AQ10,[0]!WIRE,4)/100*2*BV11*2*VLOOKUP(Variables!AR10,[0]!MAT,4),0)</f>
        <v>2.6370869194534792</v>
      </c>
      <c r="CA11" s="7">
        <f>(Variables!$W10-Variables!$B10)+(Variables!$X10-Variables!$D10)+(2*Variables!$Y10)</f>
        <v>265.8</v>
      </c>
      <c r="CB11" s="7">
        <f>IF(BT11&gt;0,VLOOKUP(Variables!AQ10,[0]!WIRE,VLOOKUP(Variables!AR10,[0]!MAT,3))*CA11/100,0)</f>
        <v>0.22358564834358752</v>
      </c>
      <c r="CC11" s="7">
        <f>IF(BT11&gt;0,(((VLOOKUP(Variables!AQ10,[0]!WIRE,2))+Variables!AS10*2)*2)^2*BU11,0)</f>
        <v>185.98809600000001</v>
      </c>
      <c r="CD11" s="7">
        <f>IF(BT11&gt;0,VLOOKUP(Variables!AQ10,[0]!WIRE,4)/100*2*BU11*CA11*VLOOKUP(Variables!AR10,[0]!MAT,4)/1000,0)</f>
        <v>0.48479841142875035</v>
      </c>
      <c r="CE11" s="7">
        <f>IF(BT11&gt;0,(VLOOKUP(Variables!AQ10,[0]!WIRE,2)+Variables!AS10)*PI()/10*Variables!AS10/10*CA11*BU11*VLOOKUP("PI",[0]!MAT,4)/1000,0)</f>
        <v>3.456224580359965E-2</v>
      </c>
      <c r="CF11" s="7">
        <f t="shared" ref="CF11" si="32">CA11*BU11/100/1000</f>
        <v>0.22327200000000003</v>
      </c>
      <c r="CG11" s="8">
        <f>CF11*2</f>
        <v>0.44654400000000005</v>
      </c>
    </row>
    <row r="12" spans="1:85" x14ac:dyDescent="0.25">
      <c r="A12" t="s">
        <v>14</v>
      </c>
      <c r="B12" s="3">
        <f>Variables!E11*Variables!F11/1000</f>
        <v>20</v>
      </c>
      <c r="C12" s="3">
        <f>Results!B12+2*Variables!G11+Variables!H11</f>
        <v>20.2</v>
      </c>
      <c r="D12" s="3">
        <f>Variables!I11*Variables!J11/1000</f>
        <v>16.8</v>
      </c>
      <c r="E12" s="3">
        <f>Results!D12+2*Variables!K11+Variables!L11</f>
        <v>18.8</v>
      </c>
      <c r="F12" s="3">
        <f>C12*Variables!M11+(Variables!M11-1)*Variables!O11</f>
        <v>40.5</v>
      </c>
      <c r="G12" s="3">
        <f>E12*Variables!N11+(Variables!N11-1)*Variables!P11</f>
        <v>37.700000000000003</v>
      </c>
      <c r="H12" s="3">
        <f>B12*Variables!M11+(Variables!M11-1)*Variables!O11</f>
        <v>40.1</v>
      </c>
      <c r="I12" s="3">
        <f>D12*Variables!N11+(Variables!N11-1)*Variables!P11+Variables!Q11</f>
        <v>34.700000000000003</v>
      </c>
      <c r="J12" s="14">
        <f>ROUNDUP((Variables!D11-Variables!C11)/(Results!H12/10),0)</f>
        <v>5</v>
      </c>
      <c r="K12" s="7">
        <f t="array" ref="K12">SUM(IF(ROW(COUNTUP)&lt;=J12,ROUNDUP((2*PI()*(Variables!C11+ROW(COUNTUP)*H12/10)/(I12/10)),0),0))</f>
        <v>247</v>
      </c>
      <c r="L12" s="7">
        <f t="shared" ref="L12:L16" si="33">K12*2</f>
        <v>494</v>
      </c>
      <c r="M12" s="7">
        <f>2*PI()*(Variables!D11^2-Variables!C11^2)/10000</f>
        <v>0.48188883430228535</v>
      </c>
      <c r="N12" s="7">
        <f>Variables!M11*Variables!N11*B12*D12/1000000*L12</f>
        <v>0.66393599999999997</v>
      </c>
      <c r="O12" s="8">
        <f t="shared" ref="O12:O16" si="34">IF(M12&gt;0,ROUND((N12/M12-1)*100,1),0)</f>
        <v>37.799999999999997</v>
      </c>
      <c r="P12" s="14">
        <f>ROUNDUP(Variables!U11/Variables!V11*K12,0)</f>
        <v>62</v>
      </c>
      <c r="Q12" s="7">
        <f t="shared" ref="Q12:Q16" si="35">P12*2</f>
        <v>124</v>
      </c>
      <c r="R12" s="7">
        <f t="array" ref="R12">SUM(IF(ROW(COUNTUP)&lt;=$J12,$I12/20+ROW(COUNTUP)*$I12/10,0))</f>
        <v>60.725000000000001</v>
      </c>
      <c r="S12" s="7">
        <f t="shared" ref="S12:S16" si="36">R12*2/100*$P12/$J12</f>
        <v>15.059800000000001</v>
      </c>
      <c r="T12" s="7">
        <f t="shared" ref="T12:T16" si="37">S12*2</f>
        <v>30.119600000000002</v>
      </c>
      <c r="U12" s="7">
        <f>IF(P12&gt;0,VLOOKUP(Variables!AE11,[0]!WIRE,VLOOKUP(Variables!AF11,[0]!MAT,3))*Variables!$C11/100,0)</f>
        <v>3.301419775460751E-2</v>
      </c>
      <c r="V12" s="7">
        <f>IF(P12&gt;0,VLOOKUP(Variables!AE11,[0]!WIRE,4)/100*2*R12*2*VLOOKUP(Variables!AF11,[0]!MAT,4),0)</f>
        <v>1.7573771682730912</v>
      </c>
      <c r="W12" s="7">
        <f>(Variables!$W11-Variables!$B11)+(Variables!$X11-Variables!$D11)+(2*Variables!$Y11)</f>
        <v>247.6</v>
      </c>
      <c r="X12" s="7">
        <f>IF(P12&gt;0,VLOOKUP(Variables!AE11,[0]!WIRE,VLOOKUP(Variables!AF11,[0]!MAT,3))*W12/100,0)</f>
        <v>0.54459129673822926</v>
      </c>
      <c r="Y12" s="7">
        <f>IF(P12&gt;0,(((VLOOKUP(Variables!AE11,[0]!WIRE,2))+Variables!AG11*2)*2)^2*Q12,0)</f>
        <v>87.911536000000012</v>
      </c>
      <c r="Z12" s="7">
        <f>IF(P12&gt;0,VLOOKUP(Variables!AE11,[0]!WIRE,4)/100*2*Q12*W12*VLOOKUP(Variables!AF11,[0]!MAT,4)/1000,0)</f>
        <v>0.44426263294514412</v>
      </c>
      <c r="AA12" s="7">
        <f>IF(P12&gt;0,(VLOOKUP(Variables!AE11,[0]!WIRE,2)+Variables!AG11)*PI()/10*Variables!AG11/10*W12*Q12*VLOOKUP("PI",[0]!MAT,4)/1000,0)</f>
        <v>2.5407062535690198E-2</v>
      </c>
      <c r="AB12" s="7">
        <f t="shared" ref="AB12:AB16" si="38">W12*Q12/100/1000</f>
        <v>0.30702400000000002</v>
      </c>
      <c r="AC12" s="7">
        <f t="shared" ref="AC12:AC16" si="39">AB12*2</f>
        <v>0.61404800000000004</v>
      </c>
      <c r="AD12" s="14">
        <f>IF(Variables!AA11&gt;0,ROUNDUP($K12/Variables!AA11,0),0)</f>
        <v>62</v>
      </c>
      <c r="AE12" s="7">
        <f t="shared" ref="AE12:AE16" si="40">AD12*2</f>
        <v>124</v>
      </c>
      <c r="AF12" s="7">
        <f t="array" ref="AF12">SUM(IF(ROW(COUNTUP)&lt;=$J12,$I12/20+ROW(COUNTUP)*$I12/10,0))</f>
        <v>60.725000000000001</v>
      </c>
      <c r="AG12" s="7">
        <f t="shared" ref="AG12:AG16" si="41">AF12*2/100*$P12/$J12</f>
        <v>15.059800000000001</v>
      </c>
      <c r="AH12" s="7">
        <f t="shared" ref="AH12:AH16" si="42">AG12*2</f>
        <v>30.119600000000002</v>
      </c>
      <c r="AI12" s="7">
        <f>IF(AD12&gt;0,VLOOKUP(Variables!AH11,[0]!WIRE,VLOOKUP(Variables!AI11,[0]!MAT,3))*Variables!$C11/100,0)</f>
        <v>0.21091301077763736</v>
      </c>
      <c r="AJ12" s="7">
        <f>IF(AD12&gt;0,VLOOKUP(Variables!AH11,[0]!WIRE,4)/100*2*AF12*2*VLOOKUP(Variables!AI11,[0]!MAT,4),0)</f>
        <v>0.27508211631366825</v>
      </c>
      <c r="AK12" s="7">
        <f>(Variables!$W11-Variables!$B11)+(Variables!$X11-Variables!$D11)+(2*Variables!$Y11)</f>
        <v>247.6</v>
      </c>
      <c r="AL12" s="7">
        <f>IF(AD12&gt;0,VLOOKUP(Variables!AH11,[0]!WIRE,VLOOKUP(Variables!AI11,[0]!MAT,3))*AK12/100,0)</f>
        <v>3.4791513303493007</v>
      </c>
      <c r="AM12" s="7">
        <f>IF(AD12&gt;0,(((VLOOKUP(Variables!AH11,[0]!WIRE,2))+Variables!AJ11*2)*2)^2*AE12,0)</f>
        <v>25.558384000000004</v>
      </c>
      <c r="AN12" s="7">
        <f>IF(AD12&gt;0,VLOOKUP(Variables!AH11,[0]!WIRE,4)/100*2*AE12*AK12*VLOOKUP(Variables!AI11,[0]!MAT,4)/1000,0)</f>
        <v>6.954039660690628E-2</v>
      </c>
      <c r="AO12" s="7">
        <f>IF(AD12&gt;0,(VLOOKUP(Variables!AH11,[0]!WIRE,2)+Variables!AJ11)*PI()/10*Variables!AJ11/10*AK12*AE12*VLOOKUP("PI",[0]!MAT,4)/1000,0)</f>
        <v>1.2121428756919583E-2</v>
      </c>
      <c r="AP12" s="7">
        <f t="shared" ref="AP12:AP16" si="43">AK12*AE12/100/1000</f>
        <v>0.30702400000000002</v>
      </c>
      <c r="AQ12" s="8">
        <f t="shared" ref="AQ12:AQ16" si="44">AP12*2</f>
        <v>0.61404800000000004</v>
      </c>
      <c r="AR12" s="14">
        <f>IF(Variables!AB11&gt;0,ROUNDUP($K12/Variables!AB11,0),0)</f>
        <v>62</v>
      </c>
      <c r="AS12" s="7">
        <f t="shared" ref="AS12:AS16" si="45">AR12*2</f>
        <v>124</v>
      </c>
      <c r="AT12" s="7">
        <f t="array" ref="AT12">SUM(IF(ROW(COUNTUP)&lt;=$J12,$I12/20+ROW(COUNTUP)*$I12/10,0))</f>
        <v>60.725000000000001</v>
      </c>
      <c r="AU12" s="7">
        <f t="shared" ref="AU12:AU16" si="46">AT12*2/100*$P12/$J12</f>
        <v>15.059800000000001</v>
      </c>
      <c r="AV12" s="7">
        <f t="shared" ref="AV12:AV16" si="47">AU12*2</f>
        <v>30.119600000000002</v>
      </c>
      <c r="AW12" s="7">
        <f>IF(AR12&gt;0,VLOOKUP(Variables!AK11,[0]!WIRE,VLOOKUP(Variables!AL11,[0]!MAT,3))*Variables!$C11/100,0)</f>
        <v>8.3369668435264013E-2</v>
      </c>
      <c r="AX12" s="7">
        <f>IF(AR12&gt;0,VLOOKUP(Variables!AK11,[0]!WIRE,4)/100*2*AT12*2*VLOOKUP(Variables!AL11,[0]!MAT,4),0)</f>
        <v>0.69591733362656827</v>
      </c>
      <c r="AY12" s="7">
        <f>(Variables!$W11-Variables!$B11)+(Variables!$X11-Variables!$D11)+(2*Variables!$Y11)</f>
        <v>247.6</v>
      </c>
      <c r="AZ12" s="7">
        <f>IF(AR12&gt;0,VLOOKUP(Variables!AK11,[0]!WIRE,VLOOKUP(Variables!AL11,[0]!MAT,3))*AY12/100,0)</f>
        <v>1.3752385013038886</v>
      </c>
      <c r="BA12" s="7">
        <f>IF(AR12&gt;0,(((VLOOKUP(Variables!AK11,[0]!WIRE,2))+Variables!AM11*2)*2)^2*AS12,0)</f>
        <v>80.155584000000019</v>
      </c>
      <c r="BB12" s="7">
        <f>IF(AR12&gt;0,VLOOKUP(Variables!AK11,[0]!WIRE,4)/100*2*AS12*AY12*VLOOKUP(Variables!AL11,[0]!MAT,4)/1000,0)</f>
        <v>0.17592698512915891</v>
      </c>
      <c r="BC12" s="7">
        <f>IF(AR12&gt;0,(VLOOKUP(Variables!AK11,[0]!WIRE,2)+Variables!AM11)*PI()/10*Variables!AM11/10*AY12*AS12*VLOOKUP("PI",[0]!MAT,4)/1000,0)</f>
        <v>4.1363519599883783E-2</v>
      </c>
      <c r="BD12" s="7">
        <f t="shared" ref="BD12:BD16" si="48">AY12*AS12/100/1000</f>
        <v>0.30702400000000002</v>
      </c>
      <c r="BE12" s="8">
        <f t="shared" ref="BE12:BE16" si="49">BD12*2</f>
        <v>0.61404800000000004</v>
      </c>
      <c r="BF12" s="14">
        <f>IF(Variables!AC11&gt;0,ROUNDUP($K12/Variables!AC11,0),0)</f>
        <v>42</v>
      </c>
      <c r="BG12" s="7">
        <f t="shared" ref="BG12:BG16" si="50">BF12*2</f>
        <v>84</v>
      </c>
      <c r="BH12" s="7">
        <f t="array" ref="BH12">SUM(IF(ROW(COUNTUP)&lt;=$J12,$I12/20+ROW(COUNTUP)*$I12/10,0))</f>
        <v>60.725000000000001</v>
      </c>
      <c r="BI12" s="7">
        <f t="shared" ref="BI12:BI16" si="51">BH12*2/100*$P12/$J12</f>
        <v>15.059800000000001</v>
      </c>
      <c r="BJ12" s="7">
        <f t="shared" ref="BJ12:BJ16" si="52">BI12*2</f>
        <v>30.119600000000002</v>
      </c>
      <c r="BK12" s="7">
        <f>IF(BF12&gt;0,VLOOKUP(Variables!AN11,[0]!WIRE,VLOOKUP(Variables!AO11,[0]!MAT,3))*Variables!$C11/100,0)</f>
        <v>8.3369668435264013E-2</v>
      </c>
      <c r="BL12" s="7">
        <f>IF(BF12&gt;0,VLOOKUP(Variables!AN11,[0]!WIRE,4)/100*2*BH12*2*VLOOKUP(Variables!AO11,[0]!MAT,4),0)</f>
        <v>0.69591733362656827</v>
      </c>
      <c r="BM12" s="7">
        <f>(Variables!$W11-Variables!$B11)+(Variables!$X11-Variables!$D11)+(2*Variables!$Y11)</f>
        <v>247.6</v>
      </c>
      <c r="BN12" s="7">
        <f>IF(BF12&gt;0,VLOOKUP(Variables!AN11,[0]!WIRE,VLOOKUP(Variables!AO11,[0]!MAT,3))*BM12/100,0)</f>
        <v>1.3752385013038886</v>
      </c>
      <c r="BO12" s="7">
        <f>IF(BF12&gt;0,(((VLOOKUP(Variables!AN11,[0]!WIRE,2))+Variables!AP11*2)*2)^2*BG12,0)</f>
        <v>30.644544000000007</v>
      </c>
      <c r="BP12" s="7">
        <f>IF(BF12&gt;0,VLOOKUP(Variables!AN11,[0]!WIRE,4)/100*2*BG12*BM12*VLOOKUP(Variables!AO11,[0]!MAT,4)/1000,0)</f>
        <v>0.11917634476491408</v>
      </c>
      <c r="BQ12" s="7">
        <f>IF(BF12&gt;0,(VLOOKUP(Variables!AN11,[0]!WIRE,2)+Variables!AP11)*PI()/10*Variables!AP11/10*BM12*BG12*VLOOKUP("PI",[0]!MAT,4)/1000,0)</f>
        <v>1.1690650807657814E-2</v>
      </c>
      <c r="BR12" s="7">
        <f t="shared" ref="BR12:BR16" si="53">BM12*BG12/100/1000</f>
        <v>0.20798399999999997</v>
      </c>
      <c r="BS12" s="8">
        <f t="shared" ref="BS12:BS16" si="54">BR12*2</f>
        <v>0.41596799999999995</v>
      </c>
      <c r="BT12" s="14">
        <f>IF(Variables!AD11&gt;0,ROUNDUP($K12/Variables!AD11,0),0)</f>
        <v>42</v>
      </c>
      <c r="BU12" s="7">
        <f t="shared" ref="BU12:BU16" si="55">BT12*2</f>
        <v>84</v>
      </c>
      <c r="BV12" s="7">
        <f t="array" ref="BV12">SUM(IF(ROW(COUNTUP)&lt;=$J12,$I12/20+ROW(COUNTUP)*$I12/10,0))</f>
        <v>60.725000000000001</v>
      </c>
      <c r="BW12" s="7">
        <f t="shared" ref="BW12:BW16" si="56">BV12*2/100*$P12/$J12</f>
        <v>15.059800000000001</v>
      </c>
      <c r="BX12" s="7">
        <f t="shared" ref="BX12:BX16" si="57">BW12*2</f>
        <v>30.119600000000002</v>
      </c>
      <c r="BY12" s="7">
        <f>IF(BT12&gt;0,VLOOKUP(Variables!AQ11,[0]!WIRE,VLOOKUP(Variables!AR11,[0]!MAT,3))*Variables!$C11/100,0)</f>
        <v>1.2626112045286863E-2</v>
      </c>
      <c r="BZ12" s="7">
        <f>IF(BT12&gt;0,VLOOKUP(Variables!AQ11,[0]!WIRE,4)/100*2*BV12*2*VLOOKUP(Variables!AR11,[0]!MAT,4),0)</f>
        <v>2.6370869194534792</v>
      </c>
      <c r="CA12" s="7">
        <f>(Variables!$W11-Variables!$B11)+(Variables!$X11-Variables!$D11)+(2*Variables!$Y11)</f>
        <v>247.6</v>
      </c>
      <c r="CB12" s="7">
        <f>IF(BT12&gt;0,VLOOKUP(Variables!AQ11,[0]!WIRE,VLOOKUP(Variables!AR11,[0]!MAT,3))*CA12/100,0)</f>
        <v>0.20827617204617105</v>
      </c>
      <c r="CC12" s="7">
        <f>IF(BT12&gt;0,(((VLOOKUP(Variables!AQ11,[0]!WIRE,2))+Variables!AS11*2)*2)^2*BU12,0)</f>
        <v>185.98809600000001</v>
      </c>
      <c r="CD12" s="7">
        <f>IF(BT12&gt;0,VLOOKUP(Variables!AQ11,[0]!WIRE,4)/100*2*BU12*CA12*VLOOKUP(Variables!AR11,[0]!MAT,4)/1000,0)</f>
        <v>0.45160303487493825</v>
      </c>
      <c r="CE12" s="7">
        <f>IF(BT12&gt;0,(VLOOKUP(Variables!AQ11,[0]!WIRE,2)+Variables!AS11)*PI()/10*Variables!AS11/10*CA12*BU12*VLOOKUP("PI",[0]!MAT,4)/1000,0)</f>
        <v>3.2195681192517957E-2</v>
      </c>
      <c r="CF12" s="7">
        <f t="shared" ref="CF12:CF16" si="58">CA12*BU12/100/1000</f>
        <v>0.20798399999999997</v>
      </c>
      <c r="CG12" s="8">
        <f t="shared" ref="CG12:CG16" si="59">CF12*2</f>
        <v>0.41596799999999995</v>
      </c>
    </row>
    <row r="13" spans="1:85" x14ac:dyDescent="0.25">
      <c r="A13" t="s">
        <v>15</v>
      </c>
      <c r="B13" s="3">
        <f>Variables!E12*Variables!F12/1000</f>
        <v>20</v>
      </c>
      <c r="C13" s="3">
        <f>Results!B13+2*Variables!G12+Variables!H12</f>
        <v>20.2</v>
      </c>
      <c r="D13" s="3">
        <f>Variables!I12*Variables!J12/1000</f>
        <v>16.8</v>
      </c>
      <c r="E13" s="3">
        <f>Results!D13+2*Variables!K12+Variables!L12</f>
        <v>18.8</v>
      </c>
      <c r="F13" s="3">
        <f>C13*Variables!M12+(Variables!M12-1)*Variables!O12</f>
        <v>40.5</v>
      </c>
      <c r="G13" s="3">
        <f>E13*Variables!N12+(Variables!N12-1)*Variables!P12</f>
        <v>37.700000000000003</v>
      </c>
      <c r="H13" s="3">
        <f>B13*Variables!M12+(Variables!M12-1)*Variables!O12</f>
        <v>40.1</v>
      </c>
      <c r="I13" s="3">
        <f>D13*Variables!N12+(Variables!N12-1)*Variables!P12+Variables!Q12</f>
        <v>34.700000000000003</v>
      </c>
      <c r="J13" s="14">
        <f>ROUNDUP((Variables!D12-Variables!C12)/(Results!H13/10),0)</f>
        <v>5</v>
      </c>
      <c r="K13" s="7">
        <f t="array" ref="K13">SUM(IF(ROW(COUNTUP)&lt;=J13,ROUNDUP((2*PI()*(Variables!C12+ROW(COUNTUP)*H13/10)/(I13/10)),0),0))</f>
        <v>247</v>
      </c>
      <c r="L13" s="7">
        <f t="shared" si="33"/>
        <v>494</v>
      </c>
      <c r="M13" s="7">
        <f>2*PI()*(Variables!D12^2-Variables!C12^2)/10000</f>
        <v>0.48188883430228535</v>
      </c>
      <c r="N13" s="7">
        <f>Variables!M12*Variables!N12*B13*D13/1000000*L13</f>
        <v>0.66393599999999997</v>
      </c>
      <c r="O13" s="8">
        <f t="shared" si="34"/>
        <v>37.799999999999997</v>
      </c>
      <c r="P13" s="14">
        <f>ROUNDUP(Variables!U12/Variables!V12*K13,0)</f>
        <v>62</v>
      </c>
      <c r="Q13" s="7">
        <f t="shared" si="35"/>
        <v>124</v>
      </c>
      <c r="R13" s="7">
        <f t="array" ref="R13">SUM(IF(ROW(COUNTUP)&lt;=$J13,$I13/20+ROW(COUNTUP)*$I13/10,0))</f>
        <v>60.725000000000001</v>
      </c>
      <c r="S13" s="7">
        <f t="shared" si="36"/>
        <v>15.059800000000001</v>
      </c>
      <c r="T13" s="7">
        <f t="shared" si="37"/>
        <v>30.119600000000002</v>
      </c>
      <c r="U13" s="7">
        <f>IF(P13&gt;0,VLOOKUP(Variables!AE12,[0]!WIRE,VLOOKUP(Variables!AF12,[0]!MAT,3))*Variables!$C12/100,0)</f>
        <v>3.301419775460751E-2</v>
      </c>
      <c r="V13" s="7">
        <f>IF(P13&gt;0,VLOOKUP(Variables!AE12,[0]!WIRE,4)/100*2*R13*2*VLOOKUP(Variables!AF12,[0]!MAT,4),0)</f>
        <v>1.7573771682730912</v>
      </c>
      <c r="W13" s="7">
        <f>(Variables!$W12-Variables!$B12)+(Variables!$X12-Variables!$D12)+(2*Variables!$Y12)</f>
        <v>232.6</v>
      </c>
      <c r="X13" s="7">
        <f>IF(P13&gt;0,VLOOKUP(Variables!AE12,[0]!WIRE,VLOOKUP(Variables!AF12,[0]!MAT,3))*W13/100,0)</f>
        <v>0.5115990937855901</v>
      </c>
      <c r="Y13" s="7">
        <f>IF(P13&gt;0,(((VLOOKUP(Variables!AE12,[0]!WIRE,2))+Variables!AG12*2)*2)^2*Q13,0)</f>
        <v>87.911536000000012</v>
      </c>
      <c r="Z13" s="7">
        <f>IF(P13&gt;0,VLOOKUP(Variables!AE12,[0]!WIRE,4)/100*2*Q13*W13*VLOOKUP(Variables!AF12,[0]!MAT,4)/1000,0)</f>
        <v>0.41734849928530093</v>
      </c>
      <c r="AA13" s="7">
        <f>IF(P13&gt;0,(VLOOKUP(Variables!AE12,[0]!WIRE,2)+Variables!AG12)*PI()/10*Variables!AG12/10*W13*Q13*VLOOKUP("PI",[0]!MAT,4)/1000,0)</f>
        <v>2.3867862462849516E-2</v>
      </c>
      <c r="AB13" s="7">
        <f t="shared" si="38"/>
        <v>0.28842399999999996</v>
      </c>
      <c r="AC13" s="7">
        <f t="shared" si="39"/>
        <v>0.57684799999999992</v>
      </c>
      <c r="AD13" s="14">
        <f>IF(Variables!AA12&gt;0,ROUNDUP($K13/Variables!AA12,0),0)</f>
        <v>62</v>
      </c>
      <c r="AE13" s="7">
        <f t="shared" si="40"/>
        <v>124</v>
      </c>
      <c r="AF13" s="7">
        <f t="array" ref="AF13">SUM(IF(ROW(COUNTUP)&lt;=$J13,$I13/20+ROW(COUNTUP)*$I13/10,0))</f>
        <v>60.725000000000001</v>
      </c>
      <c r="AG13" s="7">
        <f t="shared" si="41"/>
        <v>15.059800000000001</v>
      </c>
      <c r="AH13" s="7">
        <f t="shared" si="42"/>
        <v>30.119600000000002</v>
      </c>
      <c r="AI13" s="7">
        <f>IF(AD13&gt;0,VLOOKUP(Variables!AH12,[0]!WIRE,VLOOKUP(Variables!AI12,[0]!MAT,3))*Variables!$C12/100,0)</f>
        <v>0.21091301077763736</v>
      </c>
      <c r="AJ13" s="7">
        <f>IF(AD13&gt;0,VLOOKUP(Variables!AH12,[0]!WIRE,4)/100*2*AF13*2*VLOOKUP(Variables!AI12,[0]!MAT,4),0)</f>
        <v>0.27508211631366825</v>
      </c>
      <c r="AK13" s="7">
        <f>(Variables!$W12-Variables!$B12)+(Variables!$X12-Variables!$D12)+(2*Variables!$Y12)</f>
        <v>232.6</v>
      </c>
      <c r="AL13" s="7">
        <f>IF(AD13&gt;0,VLOOKUP(Variables!AH12,[0]!WIRE,VLOOKUP(Variables!AI12,[0]!MAT,3))*AK13/100,0)</f>
        <v>3.2683788345688503</v>
      </c>
      <c r="AM13" s="7">
        <f>IF(AD13&gt;0,(((VLOOKUP(Variables!AH12,[0]!WIRE,2))+Variables!AJ12*2)*2)^2*AE13,0)</f>
        <v>25.558384000000004</v>
      </c>
      <c r="AN13" s="7">
        <f>IF(AD13&gt;0,VLOOKUP(Variables!AH12,[0]!WIRE,4)/100*2*AE13*AK13*VLOOKUP(Variables!AI12,[0]!MAT,4)/1000,0)</f>
        <v>6.5327529284193872E-2</v>
      </c>
      <c r="AO13" s="7">
        <f>IF(AD13&gt;0,(VLOOKUP(Variables!AH12,[0]!WIRE,2)+Variables!AJ12)*PI()/10*Variables!AJ12/10*AK13*AE13*VLOOKUP("PI",[0]!MAT,4)/1000,0)</f>
        <v>1.138709341219505E-2</v>
      </c>
      <c r="AP13" s="7">
        <f t="shared" si="43"/>
        <v>0.28842399999999996</v>
      </c>
      <c r="AQ13" s="8">
        <f t="shared" si="44"/>
        <v>0.57684799999999992</v>
      </c>
      <c r="AR13" s="14">
        <f>IF(Variables!AB12&gt;0,ROUNDUP($K13/Variables!AB12,0),0)</f>
        <v>62</v>
      </c>
      <c r="AS13" s="7">
        <f t="shared" si="45"/>
        <v>124</v>
      </c>
      <c r="AT13" s="7">
        <f t="array" ref="AT13">SUM(IF(ROW(COUNTUP)&lt;=$J13,$I13/20+ROW(COUNTUP)*$I13/10,0))</f>
        <v>60.725000000000001</v>
      </c>
      <c r="AU13" s="7">
        <f t="shared" si="46"/>
        <v>15.059800000000001</v>
      </c>
      <c r="AV13" s="7">
        <f t="shared" si="47"/>
        <v>30.119600000000002</v>
      </c>
      <c r="AW13" s="7">
        <f>IF(AR13&gt;0,VLOOKUP(Variables!AK12,[0]!WIRE,VLOOKUP(Variables!AL12,[0]!MAT,3))*Variables!$C12/100,0)</f>
        <v>8.3369668435264013E-2</v>
      </c>
      <c r="AX13" s="7">
        <f>IF(AR13&gt;0,VLOOKUP(Variables!AK12,[0]!WIRE,4)/100*2*AT13*2*VLOOKUP(Variables!AL12,[0]!MAT,4),0)</f>
        <v>0.69591733362656827</v>
      </c>
      <c r="AY13" s="7">
        <f>(Variables!$W12-Variables!$B12)+(Variables!$X12-Variables!$D12)+(2*Variables!$Y12)</f>
        <v>232.6</v>
      </c>
      <c r="AZ13" s="7">
        <f>IF(AR13&gt;0,VLOOKUP(Variables!AK12,[0]!WIRE,VLOOKUP(Variables!AL12,[0]!MAT,3))*AY13/100,0)</f>
        <v>1.2919243756190812</v>
      </c>
      <c r="BA13" s="7">
        <f>IF(AR13&gt;0,(((VLOOKUP(Variables!AK12,[0]!WIRE,2))+Variables!AM12*2)*2)^2*AS13,0)</f>
        <v>80.155584000000019</v>
      </c>
      <c r="BB13" s="7">
        <f>IF(AR13&gt;0,VLOOKUP(Variables!AK12,[0]!WIRE,4)/100*2*AS13*AY13*VLOOKUP(Variables!AL12,[0]!MAT,4)/1000,0)</f>
        <v>0.16526904984265897</v>
      </c>
      <c r="BC13" s="7">
        <f>IF(AR13&gt;0,(VLOOKUP(Variables!AK12,[0]!WIRE,2)+Variables!AM12)*PI()/10*Variables!AM12/10*AY13*AS13*VLOOKUP("PI",[0]!MAT,4)/1000,0)</f>
        <v>3.8857652095852055E-2</v>
      </c>
      <c r="BD13" s="7">
        <f t="shared" si="48"/>
        <v>0.28842399999999996</v>
      </c>
      <c r="BE13" s="8">
        <f t="shared" si="49"/>
        <v>0.57684799999999992</v>
      </c>
      <c r="BF13" s="14">
        <f>IF(Variables!AC12&gt;0,ROUNDUP($K13/Variables!AC12,0),0)</f>
        <v>42</v>
      </c>
      <c r="BG13" s="7">
        <f t="shared" si="50"/>
        <v>84</v>
      </c>
      <c r="BH13" s="7">
        <f t="array" ref="BH13">SUM(IF(ROW(COUNTUP)&lt;=$J13,$I13/20+ROW(COUNTUP)*$I13/10,0))</f>
        <v>60.725000000000001</v>
      </c>
      <c r="BI13" s="7">
        <f t="shared" si="51"/>
        <v>15.059800000000001</v>
      </c>
      <c r="BJ13" s="7">
        <f t="shared" si="52"/>
        <v>30.119600000000002</v>
      </c>
      <c r="BK13" s="7">
        <f>IF(BF13&gt;0,VLOOKUP(Variables!AN12,[0]!WIRE,VLOOKUP(Variables!AO12,[0]!MAT,3))*Variables!$C12/100,0)</f>
        <v>8.3369668435264013E-2</v>
      </c>
      <c r="BL13" s="7">
        <f>IF(BF13&gt;0,VLOOKUP(Variables!AN12,[0]!WIRE,4)/100*2*BH13*2*VLOOKUP(Variables!AO12,[0]!MAT,4),0)</f>
        <v>0.69591733362656827</v>
      </c>
      <c r="BM13" s="7">
        <f>(Variables!$W12-Variables!$B12)+(Variables!$X12-Variables!$D12)+(2*Variables!$Y12)</f>
        <v>232.6</v>
      </c>
      <c r="BN13" s="7">
        <f>IF(BF13&gt;0,VLOOKUP(Variables!AN12,[0]!WIRE,VLOOKUP(Variables!AO12,[0]!MAT,3))*BM13/100,0)</f>
        <v>1.2919243756190812</v>
      </c>
      <c r="BO13" s="7">
        <f>IF(BF13&gt;0,(((VLOOKUP(Variables!AN12,[0]!WIRE,2))+Variables!AP12*2)*2)^2*BG13,0)</f>
        <v>30.644544000000007</v>
      </c>
      <c r="BP13" s="7">
        <f>IF(BF13&gt;0,VLOOKUP(Variables!AN12,[0]!WIRE,4)/100*2*BG13*BM13*VLOOKUP(Variables!AO12,[0]!MAT,4)/1000,0)</f>
        <v>0.11195645311922059</v>
      </c>
      <c r="BQ13" s="7">
        <f>IF(BF13&gt;0,(VLOOKUP(Variables!AN12,[0]!WIRE,2)+Variables!AP12)*PI()/10*Variables!AP12/10*BM13*BG13*VLOOKUP("PI",[0]!MAT,4)/1000,0)</f>
        <v>1.0982412673106654E-2</v>
      </c>
      <c r="BR13" s="7">
        <f t="shared" si="53"/>
        <v>0.19538399999999997</v>
      </c>
      <c r="BS13" s="8">
        <f t="shared" si="54"/>
        <v>0.39076799999999995</v>
      </c>
      <c r="BT13" s="14">
        <f>IF(Variables!AD12&gt;0,ROUNDUP($K13/Variables!AD12,0),0)</f>
        <v>42</v>
      </c>
      <c r="BU13" s="7">
        <f t="shared" si="55"/>
        <v>84</v>
      </c>
      <c r="BV13" s="7">
        <f t="array" ref="BV13">SUM(IF(ROW(COUNTUP)&lt;=$J13,$I13/20+ROW(COUNTUP)*$I13/10,0))</f>
        <v>60.725000000000001</v>
      </c>
      <c r="BW13" s="7">
        <f t="shared" si="56"/>
        <v>15.059800000000001</v>
      </c>
      <c r="BX13" s="7">
        <f t="shared" si="57"/>
        <v>30.119600000000002</v>
      </c>
      <c r="BY13" s="7">
        <f>IF(BT13&gt;0,VLOOKUP(Variables!AQ12,[0]!WIRE,VLOOKUP(Variables!AR12,[0]!MAT,3))*Variables!$C12/100,0)</f>
        <v>1.2626112045286863E-2</v>
      </c>
      <c r="BZ13" s="7">
        <f>IF(BT13&gt;0,VLOOKUP(Variables!AQ12,[0]!WIRE,4)/100*2*BV13*2*VLOOKUP(Variables!AR12,[0]!MAT,4),0)</f>
        <v>2.6370869194534792</v>
      </c>
      <c r="CA13" s="7">
        <f>(Variables!$W12-Variables!$B12)+(Variables!$X12-Variables!$D12)+(2*Variables!$Y12)</f>
        <v>232.6</v>
      </c>
      <c r="CB13" s="7">
        <f>IF(BT13&gt;0,VLOOKUP(Variables!AQ12,[0]!WIRE,VLOOKUP(Variables!AR12,[0]!MAT,3))*CA13/100,0)</f>
        <v>0.19565847180104762</v>
      </c>
      <c r="CC13" s="7">
        <f>IF(BT13&gt;0,(((VLOOKUP(Variables!AQ12,[0]!WIRE,2))+Variables!AS12*2)*2)^2*BU13,0)</f>
        <v>185.98809600000001</v>
      </c>
      <c r="CD13" s="7">
        <f>IF(BT13&gt;0,VLOOKUP(Variables!AQ12,[0]!WIRE,4)/100*2*BU13*CA13*VLOOKUP(Variables!AR12,[0]!MAT,4)/1000,0)</f>
        <v>0.42424420804487328</v>
      </c>
      <c r="CE13" s="7">
        <f>IF(BT13&gt;0,(VLOOKUP(Variables!AQ12,[0]!WIRE,2)+Variables!AS12)*PI()/10*Variables!AS12/10*CA13*BU13*VLOOKUP("PI",[0]!MAT,4)/1000,0)</f>
        <v>3.0245215853714365E-2</v>
      </c>
      <c r="CF13" s="7">
        <f t="shared" si="58"/>
        <v>0.19538399999999997</v>
      </c>
      <c r="CG13" s="8">
        <f t="shared" si="59"/>
        <v>0.39076799999999995</v>
      </c>
    </row>
    <row r="14" spans="1:85" x14ac:dyDescent="0.25">
      <c r="A14" t="s">
        <v>16</v>
      </c>
      <c r="B14" s="3">
        <f>Variables!E13*Variables!F13/1000</f>
        <v>20</v>
      </c>
      <c r="C14" s="3">
        <f>Results!B14+2*Variables!G13+Variables!H13</f>
        <v>20.2</v>
      </c>
      <c r="D14" s="3">
        <f>Variables!I13*Variables!J13/1000</f>
        <v>16.8</v>
      </c>
      <c r="E14" s="3">
        <f>Results!D14+2*Variables!K13+Variables!L13</f>
        <v>18.8</v>
      </c>
      <c r="F14" s="3">
        <f>C14*Variables!M13+(Variables!M13-1)*Variables!O13</f>
        <v>40.5</v>
      </c>
      <c r="G14" s="3">
        <f>E14*Variables!N13+(Variables!N13-1)*Variables!P13</f>
        <v>37.700000000000003</v>
      </c>
      <c r="H14" s="3">
        <f>B14*Variables!M13+(Variables!M13-1)*Variables!O13</f>
        <v>40.1</v>
      </c>
      <c r="I14" s="3">
        <f>D14*Variables!N13+(Variables!N13-1)*Variables!P13+Variables!Q13</f>
        <v>34.700000000000003</v>
      </c>
      <c r="J14" s="14">
        <f>ROUNDUP((Variables!D13-Variables!C13)/(Results!H14/10),0)</f>
        <v>5</v>
      </c>
      <c r="K14" s="7">
        <f t="array" ref="K14">SUM(IF(ROW(COUNTUP)&lt;=J14,ROUNDUP((2*PI()*(Variables!C13+ROW(COUNTUP)*H14/10)/(I14/10)),0),0))</f>
        <v>247</v>
      </c>
      <c r="L14" s="7">
        <f t="shared" si="33"/>
        <v>494</v>
      </c>
      <c r="M14" s="7">
        <f>2*PI()*(Variables!D13^2-Variables!C13^2)/10000</f>
        <v>0.48188883430228535</v>
      </c>
      <c r="N14" s="7">
        <f>Variables!M13*Variables!N13*B14*D14/1000000*L14</f>
        <v>0.66393599999999997</v>
      </c>
      <c r="O14" s="8">
        <f t="shared" si="34"/>
        <v>37.799999999999997</v>
      </c>
      <c r="P14" s="14">
        <f>ROUNDUP(Variables!U13/Variables!V13*K14,0)</f>
        <v>62</v>
      </c>
      <c r="Q14" s="7">
        <f t="shared" si="35"/>
        <v>124</v>
      </c>
      <c r="R14" s="7">
        <f t="array" ref="R14">SUM(IF(ROW(COUNTUP)&lt;=$J14,$I14/20+ROW(COUNTUP)*$I14/10,0))</f>
        <v>60.725000000000001</v>
      </c>
      <c r="S14" s="7">
        <f t="shared" si="36"/>
        <v>15.059800000000001</v>
      </c>
      <c r="T14" s="7">
        <f t="shared" si="37"/>
        <v>30.119600000000002</v>
      </c>
      <c r="U14" s="7">
        <f>IF(P14&gt;0,VLOOKUP(Variables!AE13,[0]!WIRE,VLOOKUP(Variables!AF13,[0]!MAT,3))*Variables!$C13/100,0)</f>
        <v>3.301419775460751E-2</v>
      </c>
      <c r="V14" s="7">
        <f>IF(P14&gt;0,VLOOKUP(Variables!AE13,[0]!WIRE,4)/100*2*R14*2*VLOOKUP(Variables!AF13,[0]!MAT,4),0)</f>
        <v>1.7573771682730912</v>
      </c>
      <c r="W14" s="7">
        <f>(Variables!$W13-Variables!$B13)+(Variables!$X13-Variables!$D13)+(2*Variables!$Y13)</f>
        <v>217.6</v>
      </c>
      <c r="X14" s="7">
        <f>IF(P14&gt;0,VLOOKUP(Variables!AE13,[0]!WIRE,VLOOKUP(Variables!AF13,[0]!MAT,3))*W14/100,0)</f>
        <v>0.47860689083295099</v>
      </c>
      <c r="Y14" s="7">
        <f>IF(P14&gt;0,(((VLOOKUP(Variables!AE13,[0]!WIRE,2))+Variables!AG13*2)*2)^2*Q14,0)</f>
        <v>87.911536000000012</v>
      </c>
      <c r="Z14" s="7">
        <f>IF(P14&gt;0,VLOOKUP(Variables!AE13,[0]!WIRE,4)/100*2*Q14*W14*VLOOKUP(Variables!AF13,[0]!MAT,4)/1000,0)</f>
        <v>0.3904343656254578</v>
      </c>
      <c r="AA14" s="7">
        <f>IF(P14&gt;0,(VLOOKUP(Variables!AE13,[0]!WIRE,2)+Variables!AG13)*PI()/10*Variables!AG13/10*W14*Q14*VLOOKUP("PI",[0]!MAT,4)/1000,0)</f>
        <v>2.2328662390008833E-2</v>
      </c>
      <c r="AB14" s="7">
        <f t="shared" si="38"/>
        <v>0.26982399999999995</v>
      </c>
      <c r="AC14" s="7">
        <f t="shared" si="39"/>
        <v>0.53964799999999991</v>
      </c>
      <c r="AD14" s="14">
        <f>IF(Variables!AA13&gt;0,ROUNDUP($K14/Variables!AA13,0),0)</f>
        <v>62</v>
      </c>
      <c r="AE14" s="7">
        <f t="shared" si="40"/>
        <v>124</v>
      </c>
      <c r="AF14" s="7">
        <f t="array" ref="AF14">SUM(IF(ROW(COUNTUP)&lt;=$J14,$I14/20+ROW(COUNTUP)*$I14/10,0))</f>
        <v>60.725000000000001</v>
      </c>
      <c r="AG14" s="7">
        <f t="shared" si="41"/>
        <v>15.059800000000001</v>
      </c>
      <c r="AH14" s="7">
        <f t="shared" si="42"/>
        <v>30.119600000000002</v>
      </c>
      <c r="AI14" s="7">
        <f>IF(AD14&gt;0,VLOOKUP(Variables!AH13,[0]!WIRE,VLOOKUP(Variables!AI13,[0]!MAT,3))*Variables!$C13/100,0)</f>
        <v>0.21091301077763736</v>
      </c>
      <c r="AJ14" s="7">
        <f>IF(AD14&gt;0,VLOOKUP(Variables!AH13,[0]!WIRE,4)/100*2*AF14*2*VLOOKUP(Variables!AI13,[0]!MAT,4),0)</f>
        <v>0.27508211631366825</v>
      </c>
      <c r="AK14" s="7">
        <f>(Variables!$W13-Variables!$B13)+(Variables!$X13-Variables!$D13)+(2*Variables!$Y13)</f>
        <v>217.6</v>
      </c>
      <c r="AL14" s="7">
        <f>IF(AD14&gt;0,VLOOKUP(Variables!AH13,[0]!WIRE,VLOOKUP(Variables!AI13,[0]!MAT,3))*AK14/100,0)</f>
        <v>3.0576063387883998</v>
      </c>
      <c r="AM14" s="7">
        <f>IF(AD14&gt;0,(((VLOOKUP(Variables!AH13,[0]!WIRE,2))+Variables!AJ13*2)*2)^2*AE14,0)</f>
        <v>25.558384000000004</v>
      </c>
      <c r="AN14" s="7">
        <f>IF(AD14&gt;0,VLOOKUP(Variables!AH13,[0]!WIRE,4)/100*2*AE14*AK14*VLOOKUP(Variables!AI13,[0]!MAT,4)/1000,0)</f>
        <v>6.1114661961481451E-2</v>
      </c>
      <c r="AO14" s="7">
        <f>IF(AD14&gt;0,(VLOOKUP(Variables!AH13,[0]!WIRE,2)+Variables!AJ13)*PI()/10*Variables!AJ13/10*AK14*AE14*VLOOKUP("PI",[0]!MAT,4)/1000,0)</f>
        <v>1.0652758067470521E-2</v>
      </c>
      <c r="AP14" s="7">
        <f t="shared" si="43"/>
        <v>0.26982399999999995</v>
      </c>
      <c r="AQ14" s="8">
        <f t="shared" si="44"/>
        <v>0.53964799999999991</v>
      </c>
      <c r="AR14" s="14">
        <f>IF(Variables!AB13&gt;0,ROUNDUP($K14/Variables!AB13,0),0)</f>
        <v>62</v>
      </c>
      <c r="AS14" s="7">
        <f t="shared" si="45"/>
        <v>124</v>
      </c>
      <c r="AT14" s="7">
        <f t="array" ref="AT14">SUM(IF(ROW(COUNTUP)&lt;=$J14,$I14/20+ROW(COUNTUP)*$I14/10,0))</f>
        <v>60.725000000000001</v>
      </c>
      <c r="AU14" s="7">
        <f t="shared" si="46"/>
        <v>15.059800000000001</v>
      </c>
      <c r="AV14" s="7">
        <f t="shared" si="47"/>
        <v>30.119600000000002</v>
      </c>
      <c r="AW14" s="7">
        <f>IF(AR14&gt;0,VLOOKUP(Variables!AK13,[0]!WIRE,VLOOKUP(Variables!AL13,[0]!MAT,3))*Variables!$C13/100,0)</f>
        <v>8.3369668435264013E-2</v>
      </c>
      <c r="AX14" s="7">
        <f>IF(AR14&gt;0,VLOOKUP(Variables!AK13,[0]!WIRE,4)/100*2*AT14*2*VLOOKUP(Variables!AL13,[0]!MAT,4),0)</f>
        <v>0.69591733362656827</v>
      </c>
      <c r="AY14" s="7">
        <f>(Variables!$W13-Variables!$B13)+(Variables!$X13-Variables!$D13)+(2*Variables!$Y13)</f>
        <v>217.6</v>
      </c>
      <c r="AZ14" s="7">
        <f>IF(AR14&gt;0,VLOOKUP(Variables!AK13,[0]!WIRE,VLOOKUP(Variables!AL13,[0]!MAT,3))*AY14/100,0)</f>
        <v>1.2086102499342737</v>
      </c>
      <c r="BA14" s="7">
        <f>IF(AR14&gt;0,(((VLOOKUP(Variables!AK13,[0]!WIRE,2))+Variables!AM13*2)*2)^2*AS14,0)</f>
        <v>80.155584000000019</v>
      </c>
      <c r="BB14" s="7">
        <f>IF(AR14&gt;0,VLOOKUP(Variables!AK13,[0]!WIRE,4)/100*2*AS14*AY14*VLOOKUP(Variables!AL13,[0]!MAT,4)/1000,0)</f>
        <v>0.15461111455615903</v>
      </c>
      <c r="BC14" s="7">
        <f>IF(AR14&gt;0,(VLOOKUP(Variables!AK13,[0]!WIRE,2)+Variables!AM13)*PI()/10*Variables!AM13/10*AY14*AS14*VLOOKUP("PI",[0]!MAT,4)/1000,0)</f>
        <v>3.635178459182032E-2</v>
      </c>
      <c r="BD14" s="7">
        <f t="shared" si="48"/>
        <v>0.26982399999999995</v>
      </c>
      <c r="BE14" s="8">
        <f t="shared" si="49"/>
        <v>0.53964799999999991</v>
      </c>
      <c r="BF14" s="14">
        <f>IF(Variables!AC13&gt;0,ROUNDUP($K14/Variables!AC13,0),0)</f>
        <v>42</v>
      </c>
      <c r="BG14" s="7">
        <f t="shared" si="50"/>
        <v>84</v>
      </c>
      <c r="BH14" s="7">
        <f t="array" ref="BH14">SUM(IF(ROW(COUNTUP)&lt;=$J14,$I14/20+ROW(COUNTUP)*$I14/10,0))</f>
        <v>60.725000000000001</v>
      </c>
      <c r="BI14" s="7">
        <f t="shared" si="51"/>
        <v>15.059800000000001</v>
      </c>
      <c r="BJ14" s="7">
        <f t="shared" si="52"/>
        <v>30.119600000000002</v>
      </c>
      <c r="BK14" s="7">
        <f>IF(BF14&gt;0,VLOOKUP(Variables!AN13,[0]!WIRE,VLOOKUP(Variables!AO13,[0]!MAT,3))*Variables!$C13/100,0)</f>
        <v>8.3369668435264013E-2</v>
      </c>
      <c r="BL14" s="7">
        <f>IF(BF14&gt;0,VLOOKUP(Variables!AN13,[0]!WIRE,4)/100*2*BH14*2*VLOOKUP(Variables!AO13,[0]!MAT,4),0)</f>
        <v>0.69591733362656827</v>
      </c>
      <c r="BM14" s="7">
        <f>(Variables!$W13-Variables!$B13)+(Variables!$X13-Variables!$D13)+(2*Variables!$Y13)</f>
        <v>217.6</v>
      </c>
      <c r="BN14" s="7">
        <f>IF(BF14&gt;0,VLOOKUP(Variables!AN13,[0]!WIRE,VLOOKUP(Variables!AO13,[0]!MAT,3))*BM14/100,0)</f>
        <v>1.2086102499342737</v>
      </c>
      <c r="BO14" s="7">
        <f>IF(BF14&gt;0,(((VLOOKUP(Variables!AN13,[0]!WIRE,2))+Variables!AP13*2)*2)^2*BG14,0)</f>
        <v>30.644544000000007</v>
      </c>
      <c r="BP14" s="7">
        <f>IF(BF14&gt;0,VLOOKUP(Variables!AN13,[0]!WIRE,4)/100*2*BG14*BM14*VLOOKUP(Variables!AO13,[0]!MAT,4)/1000,0)</f>
        <v>0.10473656147352707</v>
      </c>
      <c r="BQ14" s="7">
        <f>IF(BF14&gt;0,(VLOOKUP(Variables!AN13,[0]!WIRE,2)+Variables!AP13)*PI()/10*Variables!AP13/10*BM14*BG14*VLOOKUP("PI",[0]!MAT,4)/1000,0)</f>
        <v>1.0274174538555494E-2</v>
      </c>
      <c r="BR14" s="7">
        <f t="shared" si="53"/>
        <v>0.182784</v>
      </c>
      <c r="BS14" s="8">
        <f t="shared" si="54"/>
        <v>0.365568</v>
      </c>
      <c r="BT14" s="14">
        <f>IF(Variables!AD13&gt;0,ROUNDUP($K14/Variables!AD13,0),0)</f>
        <v>42</v>
      </c>
      <c r="BU14" s="7">
        <f t="shared" si="55"/>
        <v>84</v>
      </c>
      <c r="BV14" s="7">
        <f t="array" ref="BV14">SUM(IF(ROW(COUNTUP)&lt;=$J14,$I14/20+ROW(COUNTUP)*$I14/10,0))</f>
        <v>60.725000000000001</v>
      </c>
      <c r="BW14" s="7">
        <f t="shared" si="56"/>
        <v>15.059800000000001</v>
      </c>
      <c r="BX14" s="7">
        <f t="shared" si="57"/>
        <v>30.119600000000002</v>
      </c>
      <c r="BY14" s="7">
        <f>IF(BT14&gt;0,VLOOKUP(Variables!AQ13,[0]!WIRE,VLOOKUP(Variables!AR13,[0]!MAT,3))*Variables!$C13/100,0)</f>
        <v>1.2626112045286863E-2</v>
      </c>
      <c r="BZ14" s="7">
        <f>IF(BT14&gt;0,VLOOKUP(Variables!AQ13,[0]!WIRE,4)/100*2*BV14*2*VLOOKUP(Variables!AR13,[0]!MAT,4),0)</f>
        <v>2.6370869194534792</v>
      </c>
      <c r="CA14" s="7">
        <f>(Variables!$W13-Variables!$B13)+(Variables!$X13-Variables!$D13)+(2*Variables!$Y13)</f>
        <v>217.6</v>
      </c>
      <c r="CB14" s="7">
        <f>IF(BT14&gt;0,VLOOKUP(Variables!AQ13,[0]!WIRE,VLOOKUP(Variables!AR13,[0]!MAT,3))*CA14/100,0)</f>
        <v>0.18304077155592416</v>
      </c>
      <c r="CC14" s="7">
        <f>IF(BT14&gt;0,(((VLOOKUP(Variables!AQ13,[0]!WIRE,2))+Variables!AS13*2)*2)^2*BU14,0)</f>
        <v>185.98809600000001</v>
      </c>
      <c r="CD14" s="7">
        <f>IF(BT14&gt;0,VLOOKUP(Variables!AQ13,[0]!WIRE,4)/100*2*BU14*CA14*VLOOKUP(Variables!AR13,[0]!MAT,4)/1000,0)</f>
        <v>0.39688538121480837</v>
      </c>
      <c r="CE14" s="7">
        <f>IF(BT14&gt;0,(VLOOKUP(Variables!AQ13,[0]!WIRE,2)+Variables!AS13)*PI()/10*Variables!AS13/10*CA14*BU14*VLOOKUP("PI",[0]!MAT,4)/1000,0)</f>
        <v>2.8294750514910774E-2</v>
      </c>
      <c r="CF14" s="7">
        <f t="shared" si="58"/>
        <v>0.182784</v>
      </c>
      <c r="CG14" s="8">
        <f t="shared" si="59"/>
        <v>0.365568</v>
      </c>
    </row>
    <row r="15" spans="1:85" x14ac:dyDescent="0.25">
      <c r="A15" t="s">
        <v>17</v>
      </c>
      <c r="B15" s="3">
        <f>Variables!E14*Variables!F14/1000</f>
        <v>20</v>
      </c>
      <c r="C15" s="3">
        <f>Results!B15+2*Variables!G14+Variables!H14</f>
        <v>20.2</v>
      </c>
      <c r="D15" s="3">
        <f>Variables!I14*Variables!J14/1000</f>
        <v>16.8</v>
      </c>
      <c r="E15" s="3">
        <f>Results!D15+2*Variables!K14+Variables!L14</f>
        <v>18.8</v>
      </c>
      <c r="F15" s="3">
        <f>C15*Variables!M14+(Variables!M14-1)*Variables!O14</f>
        <v>40.5</v>
      </c>
      <c r="G15" s="3">
        <f>E15*Variables!N14+(Variables!N14-1)*Variables!P14</f>
        <v>37.700000000000003</v>
      </c>
      <c r="H15" s="3">
        <f>B15*Variables!M14+(Variables!M14-1)*Variables!O14</f>
        <v>40.1</v>
      </c>
      <c r="I15" s="3">
        <f>D15*Variables!N14+(Variables!N14-1)*Variables!P14+Variables!Q14</f>
        <v>34.700000000000003</v>
      </c>
      <c r="J15" s="14">
        <f>ROUNDUP((Variables!D14-Variables!C14)/(Results!H15/10),0)</f>
        <v>4</v>
      </c>
      <c r="K15" s="7">
        <f t="array" ref="K15">SUM(IF(ROW(COUNTUP)&lt;=J15,ROUNDUP((2*PI()*(Variables!C14+ROW(COUNTUP)*H15/10)/(I15/10)),0),0))</f>
        <v>198</v>
      </c>
      <c r="L15" s="7">
        <f t="shared" si="33"/>
        <v>396</v>
      </c>
      <c r="M15" s="7">
        <f>2*PI()*(Variables!D14^2-Variables!C14^2)/10000</f>
        <v>0.44058097497802917</v>
      </c>
      <c r="N15" s="7">
        <f>Variables!M14*Variables!N14*B15*D15/1000000*L15</f>
        <v>0.53222399999999992</v>
      </c>
      <c r="O15" s="8">
        <f t="shared" si="34"/>
        <v>20.8</v>
      </c>
      <c r="P15" s="14">
        <f>ROUNDUP(Variables!U14/Variables!V14*K15,0)</f>
        <v>50</v>
      </c>
      <c r="Q15" s="7">
        <f t="shared" si="35"/>
        <v>100</v>
      </c>
      <c r="R15" s="7">
        <f t="array" ref="R15">SUM(IF(ROW(COUNTUP)&lt;=$J15,$I15/20+ROW(COUNTUP)*$I15/10,0))</f>
        <v>41.64</v>
      </c>
      <c r="S15" s="7">
        <f t="shared" si="36"/>
        <v>10.41</v>
      </c>
      <c r="T15" s="7">
        <f t="shared" si="37"/>
        <v>20.82</v>
      </c>
      <c r="U15" s="7">
        <f>IF(P15&gt;0,VLOOKUP(Variables!AE14,[0]!WIRE,VLOOKUP(Variables!AF14,[0]!MAT,3))*Variables!$C14/100,0)</f>
        <v>3.7523132158134853E-2</v>
      </c>
      <c r="V15" s="7">
        <f>IF(P15&gt;0,VLOOKUP(Variables!AE14,[0]!WIRE,4)/100*2*R15*2*VLOOKUP(Variables!AF14,[0]!MAT,4),0)</f>
        <v>1.2050586296729768</v>
      </c>
      <c r="W15" s="7">
        <f>(Variables!$W14-Variables!$B14)+(Variables!$X14-Variables!$D14)+(2*Variables!$Y14)</f>
        <v>202.6</v>
      </c>
      <c r="X15" s="7">
        <f>IF(P15&gt;0,VLOOKUP(Variables!AE14,[0]!WIRE,VLOOKUP(Variables!AF14,[0]!MAT,3))*W15/100,0)</f>
        <v>0.44561468788031194</v>
      </c>
      <c r="Y15" s="7">
        <f>IF(P15&gt;0,(((VLOOKUP(Variables!AE14,[0]!WIRE,2))+Variables!AG14*2)*2)^2*Q15,0)</f>
        <v>70.896400000000014</v>
      </c>
      <c r="Z15" s="7">
        <f>IF(P15&gt;0,VLOOKUP(Variables!AE14,[0]!WIRE,4)/100*2*Q15*W15*VLOOKUP(Variables!AF14,[0]!MAT,4)/1000,0)</f>
        <v>0.29316147739162474</v>
      </c>
      <c r="AA15" s="7">
        <f>IF(P15&gt;0,(VLOOKUP(Variables!AE14,[0]!WIRE,2)+Variables!AG14)*PI()/10*Variables!AG14/10*W15*Q15*VLOOKUP("PI",[0]!MAT,4)/1000,0)</f>
        <v>1.676569541707109E-2</v>
      </c>
      <c r="AB15" s="7">
        <f t="shared" si="38"/>
        <v>0.2026</v>
      </c>
      <c r="AC15" s="7">
        <f t="shared" si="39"/>
        <v>0.4052</v>
      </c>
      <c r="AD15" s="14">
        <f>IF(Variables!AA14&gt;0,ROUNDUP($K15/Variables!AA14,0),0)</f>
        <v>50</v>
      </c>
      <c r="AE15" s="7">
        <f t="shared" si="40"/>
        <v>100</v>
      </c>
      <c r="AF15" s="7">
        <f t="array" ref="AF15">SUM(IF(ROW(COUNTUP)&lt;=$J15,$I15/20+ROW(COUNTUP)*$I15/10,0))</f>
        <v>41.64</v>
      </c>
      <c r="AG15" s="7">
        <f t="shared" si="41"/>
        <v>10.41</v>
      </c>
      <c r="AH15" s="7">
        <f t="shared" si="42"/>
        <v>20.82</v>
      </c>
      <c r="AI15" s="7">
        <f>IF(AD15&gt;0,VLOOKUP(Variables!AH14,[0]!WIRE,VLOOKUP(Variables!AI14,[0]!MAT,3))*Variables!$C14/100,0)</f>
        <v>0.23971858520096553</v>
      </c>
      <c r="AJ15" s="7">
        <f>IF(AD15&gt;0,VLOOKUP(Variables!AH14,[0]!WIRE,4)/100*2*AF15*2*VLOOKUP(Variables!AI14,[0]!MAT,4),0)</f>
        <v>0.18862773690080106</v>
      </c>
      <c r="AK15" s="7">
        <f>(Variables!$W14-Variables!$B14)+(Variables!$X14-Variables!$D14)+(2*Variables!$Y14)</f>
        <v>202.6</v>
      </c>
      <c r="AL15" s="7">
        <f>IF(AD15&gt;0,VLOOKUP(Variables!AH14,[0]!WIRE,VLOOKUP(Variables!AI14,[0]!MAT,3))*AK15/100,0)</f>
        <v>2.8468338430079494</v>
      </c>
      <c r="AM15" s="7">
        <f>IF(AD15&gt;0,(((VLOOKUP(Variables!AH14,[0]!WIRE,2))+Variables!AJ14*2)*2)^2*AE15,0)</f>
        <v>20.611600000000003</v>
      </c>
      <c r="AN15" s="7">
        <f>IF(AD15&gt;0,VLOOKUP(Variables!AH14,[0]!WIRE,4)/100*2*AE15*AK15*VLOOKUP(Variables!AI14,[0]!MAT,4)/1000,0)</f>
        <v>4.5888544063523405E-2</v>
      </c>
      <c r="AO15" s="7">
        <f>IF(AD15&gt;0,(VLOOKUP(Variables!AH14,[0]!WIRE,2)+Variables!AJ14)*PI()/10*Variables!AJ14/10*AK15*AE15*VLOOKUP("PI",[0]!MAT,4)/1000,0)</f>
        <v>7.9987280022145082E-3</v>
      </c>
      <c r="AP15" s="7">
        <f t="shared" si="43"/>
        <v>0.2026</v>
      </c>
      <c r="AQ15" s="8">
        <f t="shared" si="44"/>
        <v>0.4052</v>
      </c>
      <c r="AR15" s="14">
        <f>IF(Variables!AB14&gt;0,ROUNDUP($K15/Variables!AB14,0),0)</f>
        <v>50</v>
      </c>
      <c r="AS15" s="7">
        <f t="shared" si="45"/>
        <v>100</v>
      </c>
      <c r="AT15" s="7">
        <f t="array" ref="AT15">SUM(IF(ROW(COUNTUP)&lt;=$J15,$I15/20+ROW(COUNTUP)*$I15/10,0))</f>
        <v>41.64</v>
      </c>
      <c r="AU15" s="7">
        <f t="shared" si="46"/>
        <v>10.41</v>
      </c>
      <c r="AV15" s="7">
        <f t="shared" si="47"/>
        <v>20.82</v>
      </c>
      <c r="AW15" s="7">
        <f>IF(AR15&gt;0,VLOOKUP(Variables!AK14,[0]!WIRE,VLOOKUP(Variables!AL14,[0]!MAT,3))*Variables!$C14/100,0)</f>
        <v>9.4755932278854343E-2</v>
      </c>
      <c r="AX15" s="7">
        <f>IF(AR15&gt;0,VLOOKUP(Variables!AK14,[0]!WIRE,4)/100*2*AT15*2*VLOOKUP(Variables!AL14,[0]!MAT,4),0)</f>
        <v>0.47720045734393246</v>
      </c>
      <c r="AY15" s="7">
        <f>(Variables!$W14-Variables!$B14)+(Variables!$X14-Variables!$D14)+(2*Variables!$Y14)</f>
        <v>202.6</v>
      </c>
      <c r="AZ15" s="7">
        <f>IF(AR15&gt;0,VLOOKUP(Variables!AK14,[0]!WIRE,VLOOKUP(Variables!AL14,[0]!MAT,3))*AY15/100,0)</f>
        <v>1.1252961242494661</v>
      </c>
      <c r="BA15" s="7">
        <f>IF(AR15&gt;0,(((VLOOKUP(Variables!AK14,[0]!WIRE,2))+Variables!AM14*2)*2)^2*AS15,0)</f>
        <v>64.641600000000011</v>
      </c>
      <c r="BB15" s="7">
        <f>IF(AR15&gt;0,VLOOKUP(Variables!AK14,[0]!WIRE,4)/100*2*AS15*AY15*VLOOKUP(Variables!AL14,[0]!MAT,4)/1000,0)</f>
        <v>0.11609127360456378</v>
      </c>
      <c r="BC15" s="7">
        <f>IF(AR15&gt;0,(VLOOKUP(Variables!AK14,[0]!WIRE,2)+Variables!AM14)*PI()/10*Variables!AM14/10*AY15*AS15*VLOOKUP("PI",[0]!MAT,4)/1000,0)</f>
        <v>2.7295094425635956E-2</v>
      </c>
      <c r="BD15" s="7">
        <f t="shared" si="48"/>
        <v>0.2026</v>
      </c>
      <c r="BE15" s="8">
        <f t="shared" si="49"/>
        <v>0.4052</v>
      </c>
      <c r="BF15" s="14">
        <f>IF(Variables!AC14&gt;0,ROUNDUP($K15/Variables!AC14,0),0)</f>
        <v>33</v>
      </c>
      <c r="BG15" s="7">
        <f t="shared" si="50"/>
        <v>66</v>
      </c>
      <c r="BH15" s="7">
        <f t="array" ref="BH15">SUM(IF(ROW(COUNTUP)&lt;=$J15,$I15/20+ROW(COUNTUP)*$I15/10,0))</f>
        <v>41.64</v>
      </c>
      <c r="BI15" s="7">
        <f t="shared" si="51"/>
        <v>10.41</v>
      </c>
      <c r="BJ15" s="7">
        <f t="shared" si="52"/>
        <v>20.82</v>
      </c>
      <c r="BK15" s="7">
        <f>IF(BF15&gt;0,VLOOKUP(Variables!AN14,[0]!WIRE,VLOOKUP(Variables!AO14,[0]!MAT,3))*Variables!$C14/100,0)</f>
        <v>9.4755932278854343E-2</v>
      </c>
      <c r="BL15" s="7">
        <f>IF(BF15&gt;0,VLOOKUP(Variables!AN14,[0]!WIRE,4)/100*2*BH15*2*VLOOKUP(Variables!AO14,[0]!MAT,4),0)</f>
        <v>0.47720045734393246</v>
      </c>
      <c r="BM15" s="7">
        <f>(Variables!$W14-Variables!$B14)+(Variables!$X14-Variables!$D14)+(2*Variables!$Y14)</f>
        <v>202.6</v>
      </c>
      <c r="BN15" s="7">
        <f>IF(BF15&gt;0,VLOOKUP(Variables!AN14,[0]!WIRE,VLOOKUP(Variables!AO14,[0]!MAT,3))*BM15/100,0)</f>
        <v>1.1252961242494661</v>
      </c>
      <c r="BO15" s="7">
        <f>IF(BF15&gt;0,(((VLOOKUP(Variables!AN14,[0]!WIRE,2))+Variables!AP14*2)*2)^2*BG15,0)</f>
        <v>24.077856000000004</v>
      </c>
      <c r="BP15" s="7">
        <f>IF(BF15&gt;0,VLOOKUP(Variables!AN14,[0]!WIRE,4)/100*2*BG15*BM15*VLOOKUP(Variables!AO14,[0]!MAT,4)/1000,0)</f>
        <v>7.6620240579012108E-2</v>
      </c>
      <c r="BQ15" s="7">
        <f>IF(BF15&gt;0,(VLOOKUP(Variables!AN14,[0]!WIRE,2)+Variables!AP14)*PI()/10*Variables!AP14/10*BM15*BG15*VLOOKUP("PI",[0]!MAT,4)/1000,0)</f>
        <v>7.5160928888605479E-3</v>
      </c>
      <c r="BR15" s="7">
        <f t="shared" si="53"/>
        <v>0.133716</v>
      </c>
      <c r="BS15" s="8">
        <f t="shared" si="54"/>
        <v>0.267432</v>
      </c>
      <c r="BT15" s="14">
        <f>IF(Variables!AD14&gt;0,ROUNDUP($K15/Variables!AD14,0),0)</f>
        <v>33</v>
      </c>
      <c r="BU15" s="7">
        <f t="shared" si="55"/>
        <v>66</v>
      </c>
      <c r="BV15" s="7">
        <f t="array" ref="BV15">SUM(IF(ROW(COUNTUP)&lt;=$J15,$I15/20+ROW(COUNTUP)*$I15/10,0))</f>
        <v>41.64</v>
      </c>
      <c r="BW15" s="7">
        <f t="shared" si="56"/>
        <v>10.41</v>
      </c>
      <c r="BX15" s="7">
        <f t="shared" si="57"/>
        <v>20.82</v>
      </c>
      <c r="BY15" s="7">
        <f>IF(BT15&gt;0,VLOOKUP(Variables!AQ14,[0]!WIRE,VLOOKUP(Variables!AR14,[0]!MAT,3))*Variables!$C14/100,0)</f>
        <v>1.4350531078787067E-2</v>
      </c>
      <c r="BZ15" s="7">
        <f>IF(BT15&gt;0,VLOOKUP(Variables!AQ14,[0]!WIRE,4)/100*2*BV15*2*VLOOKUP(Variables!AR14,[0]!MAT,4),0)</f>
        <v>1.8082881733395288</v>
      </c>
      <c r="CA15" s="7">
        <f>(Variables!$W14-Variables!$B14)+(Variables!$X14-Variables!$D14)+(2*Variables!$Y14)</f>
        <v>202.6</v>
      </c>
      <c r="CB15" s="7">
        <f>IF(BT15&gt;0,VLOOKUP(Variables!AQ14,[0]!WIRE,VLOOKUP(Variables!AR14,[0]!MAT,3))*CA15/100,0)</f>
        <v>0.17042307131080073</v>
      </c>
      <c r="CC15" s="7">
        <f>IF(BT15&gt;0,(((VLOOKUP(Variables!AQ14,[0]!WIRE,2))+Variables!AS14*2)*2)^2*BU15,0)</f>
        <v>146.13350400000002</v>
      </c>
      <c r="CD15" s="7">
        <f>IF(BT15&gt;0,VLOOKUP(Variables!AQ14,[0]!WIRE,4)/100*2*BU15*CA15*VLOOKUP(Variables!AR14,[0]!MAT,4)/1000,0)</f>
        <v>0.29034229273086981</v>
      </c>
      <c r="CE15" s="7">
        <f>IF(BT15&gt;0,(VLOOKUP(Variables!AQ14,[0]!WIRE,2)+Variables!AS14)*PI()/10*Variables!AS14/10*CA15*BU15*VLOOKUP("PI",[0]!MAT,4)/1000,0)</f>
        <v>2.0699081209798499E-2</v>
      </c>
      <c r="CF15" s="7">
        <f t="shared" si="58"/>
        <v>0.133716</v>
      </c>
      <c r="CG15" s="8">
        <f t="shared" si="59"/>
        <v>0.267432</v>
      </c>
    </row>
    <row r="16" spans="1:85" x14ac:dyDescent="0.25">
      <c r="A16" t="s">
        <v>18</v>
      </c>
      <c r="B16" s="3">
        <f>Variables!E15*Variables!F15/1000</f>
        <v>20</v>
      </c>
      <c r="C16" s="3">
        <f>Results!B16+2*Variables!G15+Variables!H15</f>
        <v>20.2</v>
      </c>
      <c r="D16" s="3">
        <f>Variables!I15*Variables!J15/1000</f>
        <v>16.8</v>
      </c>
      <c r="E16" s="3">
        <f>Results!D16+2*Variables!K15+Variables!L15</f>
        <v>18.8</v>
      </c>
      <c r="F16" s="3">
        <f>C16*Variables!M15+(Variables!M15-1)*Variables!O15</f>
        <v>40.5</v>
      </c>
      <c r="G16" s="3">
        <f>E16*Variables!N15+(Variables!N15-1)*Variables!P15</f>
        <v>37.700000000000003</v>
      </c>
      <c r="H16" s="3">
        <f>B16*Variables!M15+(Variables!M15-1)*Variables!O15</f>
        <v>40.1</v>
      </c>
      <c r="I16" s="3">
        <f>D16*Variables!N15+(Variables!N15-1)*Variables!P15+Variables!Q15</f>
        <v>34.700000000000003</v>
      </c>
      <c r="J16" s="14">
        <f>ROUNDUP((Variables!D15-Variables!C15)/(Results!H16/10),0)</f>
        <v>3</v>
      </c>
      <c r="K16" s="7">
        <f t="array" ref="K16">SUM(IF(ROW(COUNTUP)&lt;=J16,ROUNDUP((2*PI()*(Variables!C15+ROW(COUNTUP)*H16/10)/(I16/10)),0),0))</f>
        <v>160</v>
      </c>
      <c r="L16" s="7">
        <f t="shared" si="33"/>
        <v>320</v>
      </c>
      <c r="M16" s="7">
        <f>2*PI()*(Variables!D15^2-Variables!C15^2)/10000</f>
        <v>0.33999094812126834</v>
      </c>
      <c r="N16" s="7">
        <f>Variables!M15*Variables!N15*B16*D16/1000000*L16</f>
        <v>0.43007999999999996</v>
      </c>
      <c r="O16" s="8">
        <f t="shared" si="34"/>
        <v>26.5</v>
      </c>
      <c r="P16" s="14">
        <f>ROUNDUP(Variables!U15/Variables!V15*K16,0)</f>
        <v>40</v>
      </c>
      <c r="Q16" s="7">
        <f t="shared" si="35"/>
        <v>80</v>
      </c>
      <c r="R16" s="7">
        <f t="array" ref="R16">SUM(IF(ROW(COUNTUP)&lt;=$J16,$I16/20+ROW(COUNTUP)*$I16/10,0))</f>
        <v>26.024999999999999</v>
      </c>
      <c r="S16" s="7">
        <f t="shared" si="36"/>
        <v>6.94</v>
      </c>
      <c r="T16" s="7">
        <f t="shared" si="37"/>
        <v>13.88</v>
      </c>
      <c r="U16" s="7">
        <f>IF(P16&gt;0,VLOOKUP(Variables!AE15,[0]!WIRE,VLOOKUP(Variables!AF15,[0]!MAT,3))*Variables!$C15/100,0)</f>
        <v>4.6716959380936951E-2</v>
      </c>
      <c r="V16" s="7">
        <f>IF(P16&gt;0,VLOOKUP(Variables!AE15,[0]!WIRE,4)/100*2*R16*2*VLOOKUP(Variables!AF15,[0]!MAT,4),0)</f>
        <v>0.75316164354561044</v>
      </c>
      <c r="W16" s="7">
        <f>(Variables!$W15-Variables!$B15)+(Variables!$X15-Variables!$D15)+(2*Variables!$Y15)</f>
        <v>186</v>
      </c>
      <c r="X16" s="7">
        <f>IF(P16&gt;0,VLOOKUP(Variables!AE15,[0]!WIRE,VLOOKUP(Variables!AF15,[0]!MAT,3))*W16/100,0)</f>
        <v>0.4091033166127247</v>
      </c>
      <c r="Y16" s="7">
        <f>IF(P16&gt;0,(((VLOOKUP(Variables!AE15,[0]!WIRE,2))+Variables!AG15*2)*2)^2*Q16,0)</f>
        <v>56.717120000000008</v>
      </c>
      <c r="Z16" s="7">
        <f>IF(P16&gt;0,VLOOKUP(Variables!AE15,[0]!WIRE,4)/100*2*Q16*W16*VLOOKUP(Variables!AF15,[0]!MAT,4)/1000,0)</f>
        <v>0.21531306927874511</v>
      </c>
      <c r="AA16" s="7">
        <f>IF(P16&gt;0,(VLOOKUP(Variables!AE15,[0]!WIRE,2)+Variables!AG15)*PI()/10*Variables!AG15/10*W16*Q16*VLOOKUP("PI",[0]!MAT,4)/1000,0)</f>
        <v>1.2313600582725463E-2</v>
      </c>
      <c r="AB16" s="7">
        <f t="shared" si="38"/>
        <v>0.14880000000000002</v>
      </c>
      <c r="AC16" s="7">
        <f t="shared" si="39"/>
        <v>0.29760000000000003</v>
      </c>
      <c r="AD16" s="14">
        <f>IF(Variables!AA15&gt;0,ROUNDUP($K16/Variables!AA15,0),0)</f>
        <v>40</v>
      </c>
      <c r="AE16" s="7">
        <f t="shared" si="40"/>
        <v>80</v>
      </c>
      <c r="AF16" s="7">
        <f t="array" ref="AF16">SUM(IF(ROW(COUNTUP)&lt;=$J16,$I16/20+ROW(COUNTUP)*$I16/10,0))</f>
        <v>26.024999999999999</v>
      </c>
      <c r="AG16" s="7">
        <f t="shared" si="41"/>
        <v>6.94</v>
      </c>
      <c r="AH16" s="7">
        <f t="shared" si="42"/>
        <v>13.88</v>
      </c>
      <c r="AI16" s="7">
        <f>IF(AD16&gt;0,VLOOKUP(Variables!AH15,[0]!WIRE,VLOOKUP(Variables!AI15,[0]!MAT,3))*Variables!$C15/100,0)</f>
        <v>0.2984538540251177</v>
      </c>
      <c r="AJ16" s="7">
        <f>IF(AD16&gt;0,VLOOKUP(Variables!AH15,[0]!WIRE,4)/100*2*AF16*2*VLOOKUP(Variables!AI15,[0]!MAT,4),0)</f>
        <v>0.11789233556300067</v>
      </c>
      <c r="AK16" s="7">
        <f>(Variables!$W15-Variables!$B15)+(Variables!$X15-Variables!$D15)+(2*Variables!$Y15)</f>
        <v>186</v>
      </c>
      <c r="AL16" s="7">
        <f>IF(AD16&gt;0,VLOOKUP(Variables!AH15,[0]!WIRE,VLOOKUP(Variables!AI15,[0]!MAT,3))*AK16/100,0)</f>
        <v>2.6135789476775848</v>
      </c>
      <c r="AM16" s="7">
        <f>IF(AD16&gt;0,(((VLOOKUP(Variables!AH15,[0]!WIRE,2))+Variables!AJ15*2)*2)^2*AE16,0)</f>
        <v>16.489280000000001</v>
      </c>
      <c r="AN16" s="7">
        <f>IF(AD16&gt;0,VLOOKUP(Variables!AH15,[0]!WIRE,4)/100*2*AE16*AK16*VLOOKUP(Variables!AI15,[0]!MAT,4)/1000,0)</f>
        <v>3.3702938581699329E-2</v>
      </c>
      <c r="AO16" s="7">
        <f>IF(AD16&gt;0,(VLOOKUP(Variables!AH15,[0]!WIRE,2)+Variables!AJ15)*PI()/10*Variables!AJ15/10*AK16*AE16*VLOOKUP("PI",[0]!MAT,4)/1000,0)</f>
        <v>5.8746827577962433E-3</v>
      </c>
      <c r="AP16" s="7">
        <f t="shared" si="43"/>
        <v>0.14880000000000002</v>
      </c>
      <c r="AQ16" s="8">
        <f t="shared" si="44"/>
        <v>0.29760000000000003</v>
      </c>
      <c r="AR16" s="14">
        <f>IF(Variables!AB15&gt;0,ROUNDUP($K16/Variables!AB15,0),0)</f>
        <v>40</v>
      </c>
      <c r="AS16" s="7">
        <f t="shared" si="45"/>
        <v>80</v>
      </c>
      <c r="AT16" s="7">
        <f t="array" ref="AT16">SUM(IF(ROW(COUNTUP)&lt;=$J16,$I16/20+ROW(COUNTUP)*$I16/10,0))</f>
        <v>26.024999999999999</v>
      </c>
      <c r="AU16" s="7">
        <f t="shared" si="46"/>
        <v>6.94</v>
      </c>
      <c r="AV16" s="7">
        <f t="shared" si="47"/>
        <v>13.88</v>
      </c>
      <c r="AW16" s="7">
        <f>IF(AR16&gt;0,VLOOKUP(Variables!AK15,[0]!WIRE,VLOOKUP(Variables!AL15,[0]!MAT,3))*Variables!$C15/100,0)</f>
        <v>0.11797280196968737</v>
      </c>
      <c r="AX16" s="7">
        <f>IF(AR16&gt;0,VLOOKUP(Variables!AK15,[0]!WIRE,4)/100*2*AT16*2*VLOOKUP(Variables!AL15,[0]!MAT,4),0)</f>
        <v>0.29825028583995777</v>
      </c>
      <c r="AY16" s="7">
        <f>(Variables!$W15-Variables!$B15)+(Variables!$X15-Variables!$D15)+(2*Variables!$Y15)</f>
        <v>186</v>
      </c>
      <c r="AZ16" s="7">
        <f>IF(AR16&gt;0,VLOOKUP(Variables!AK15,[0]!WIRE,VLOOKUP(Variables!AL15,[0]!MAT,3))*AY16/100,0)</f>
        <v>1.0330951584916128</v>
      </c>
      <c r="BA16" s="7">
        <f>IF(AR16&gt;0,(((VLOOKUP(Variables!AK15,[0]!WIRE,2))+Variables!AM15*2)*2)^2*AS16,0)</f>
        <v>51.713280000000012</v>
      </c>
      <c r="BB16" s="7">
        <f>IF(AR16&gt;0,VLOOKUP(Variables!AK15,[0]!WIRE,4)/100*2*AS16*AY16*VLOOKUP(Variables!AL15,[0]!MAT,4)/1000,0)</f>
        <v>8.5263482291999468E-2</v>
      </c>
      <c r="BC16" s="7">
        <f>IF(AR16&gt;0,(VLOOKUP(Variables!AK15,[0]!WIRE,2)+Variables!AM15)*PI()/10*Variables!AM15/10*AY16*AS16*VLOOKUP("PI",[0]!MAT,4)/1000,0)</f>
        <v>2.0046940032253852E-2</v>
      </c>
      <c r="BD16" s="7">
        <f t="shared" si="48"/>
        <v>0.14880000000000002</v>
      </c>
      <c r="BE16" s="8">
        <f t="shared" si="49"/>
        <v>0.29760000000000003</v>
      </c>
      <c r="BF16" s="14">
        <f>IF(Variables!AC15&gt;0,ROUNDUP($K16/Variables!AC15,0),0)</f>
        <v>27</v>
      </c>
      <c r="BG16" s="7">
        <f t="shared" si="50"/>
        <v>54</v>
      </c>
      <c r="BH16" s="7">
        <f t="array" ref="BH16">SUM(IF(ROW(COUNTUP)&lt;=$J16,$I16/20+ROW(COUNTUP)*$I16/10,0))</f>
        <v>26.024999999999999</v>
      </c>
      <c r="BI16" s="7">
        <f t="shared" si="51"/>
        <v>6.94</v>
      </c>
      <c r="BJ16" s="7">
        <f t="shared" si="52"/>
        <v>13.88</v>
      </c>
      <c r="BK16" s="7">
        <f>IF(BF16&gt;0,VLOOKUP(Variables!AN15,[0]!WIRE,VLOOKUP(Variables!AO15,[0]!MAT,3))*Variables!$C15/100,0)</f>
        <v>0.11797280196968737</v>
      </c>
      <c r="BL16" s="7">
        <f>IF(BF16&gt;0,VLOOKUP(Variables!AN15,[0]!WIRE,4)/100*2*BH16*2*VLOOKUP(Variables!AO15,[0]!MAT,4),0)</f>
        <v>0.29825028583995777</v>
      </c>
      <c r="BM16" s="7">
        <f>(Variables!$W15-Variables!$B15)+(Variables!$X15-Variables!$D15)+(2*Variables!$Y15)</f>
        <v>186</v>
      </c>
      <c r="BN16" s="7">
        <f>IF(BF16&gt;0,VLOOKUP(Variables!AN15,[0]!WIRE,VLOOKUP(Variables!AO15,[0]!MAT,3))*BM16/100,0)</f>
        <v>1.0330951584916128</v>
      </c>
      <c r="BO16" s="7">
        <f>IF(BF16&gt;0,(((VLOOKUP(Variables!AN15,[0]!WIRE,2))+Variables!AP15*2)*2)^2*BG16,0)</f>
        <v>19.700064000000005</v>
      </c>
      <c r="BP16" s="7">
        <f>IF(BF16&gt;0,VLOOKUP(Variables!AN15,[0]!WIRE,4)/100*2*BG16*BM16*VLOOKUP(Variables!AO15,[0]!MAT,4)/1000,0)</f>
        <v>5.7552850547099646E-2</v>
      </c>
      <c r="BQ16" s="7">
        <f>IF(BF16&gt;0,(VLOOKUP(Variables!AN15,[0]!WIRE,2)+Variables!AP15)*PI()/10*Variables!AP15/10*BM16*BG16*VLOOKUP("PI",[0]!MAT,4)/1000,0)</f>
        <v>5.6456697011363893E-3</v>
      </c>
      <c r="BR16" s="7">
        <f t="shared" si="53"/>
        <v>0.10044</v>
      </c>
      <c r="BS16" s="8">
        <f t="shared" si="54"/>
        <v>0.20088</v>
      </c>
      <c r="BT16" s="14">
        <f>IF(Variables!AD15&gt;0,ROUNDUP($K16/Variables!AD15,0),0)</f>
        <v>27</v>
      </c>
      <c r="BU16" s="7">
        <f t="shared" si="55"/>
        <v>54</v>
      </c>
      <c r="BV16" s="7">
        <f t="array" ref="BV16">SUM(IF(ROW(COUNTUP)&lt;=$J16,$I16/20+ROW(COUNTUP)*$I16/10,0))</f>
        <v>26.024999999999999</v>
      </c>
      <c r="BW16" s="7">
        <f t="shared" si="56"/>
        <v>6.94</v>
      </c>
      <c r="BX16" s="7">
        <f t="shared" si="57"/>
        <v>13.88</v>
      </c>
      <c r="BY16" s="7">
        <f>IF(BT16&gt;0,VLOOKUP(Variables!AQ15,[0]!WIRE,VLOOKUP(Variables!AR15,[0]!MAT,3))*Variables!$C15/100,0)</f>
        <v>1.7866663547094801E-2</v>
      </c>
      <c r="BZ16" s="7">
        <f>IF(BT16&gt;0,VLOOKUP(Variables!AQ15,[0]!WIRE,4)/100*2*BV16*2*VLOOKUP(Variables!AR15,[0]!MAT,4),0)</f>
        <v>1.1301801083372054</v>
      </c>
      <c r="CA16" s="7">
        <f>(Variables!$W15-Variables!$B15)+(Variables!$X15-Variables!$D15)+(2*Variables!$Y15)</f>
        <v>186</v>
      </c>
      <c r="CB16" s="7">
        <f>IF(BT16&gt;0,VLOOKUP(Variables!AQ15,[0]!WIRE,VLOOKUP(Variables!AR15,[0]!MAT,3))*CA16/100,0)</f>
        <v>0.15645948303953078</v>
      </c>
      <c r="CC16" s="7">
        <f>IF(BT16&gt;0,(((VLOOKUP(Variables!AQ15,[0]!WIRE,2))+Variables!AS15*2)*2)^2*BU16,0)</f>
        <v>119.563776</v>
      </c>
      <c r="CD16" s="7">
        <f>IF(BT16&gt;0,VLOOKUP(Variables!AQ15,[0]!WIRE,4)/100*2*BU16*CA16*VLOOKUP(Variables!AR15,[0]!MAT,4)/1000,0)</f>
        <v>0.21808893387394604</v>
      </c>
      <c r="CE16" s="7">
        <f>IF(BT16&gt;0,(VLOOKUP(Variables!AQ15,[0]!WIRE,2)+Variables!AS15)*PI()/10*Variables!AS15/10*CA16*BU16*VLOOKUP("PI",[0]!MAT,4)/1000,0)</f>
        <v>1.5547995129320062E-2</v>
      </c>
      <c r="CF16" s="7">
        <f t="shared" si="58"/>
        <v>0.10044</v>
      </c>
      <c r="CG16" s="8">
        <f t="shared" si="59"/>
        <v>0.20088</v>
      </c>
    </row>
    <row r="17" spans="1:85" x14ac:dyDescent="0.25">
      <c r="L17" s="10">
        <f>SUM(L11:L16)</f>
        <v>2692</v>
      </c>
      <c r="M17" s="10">
        <f>SUM(M11:M16)</f>
        <v>2.708127260308439</v>
      </c>
      <c r="N17" s="10">
        <f>SUM(N11:N16)</f>
        <v>3.6180479999999995</v>
      </c>
      <c r="Q17" s="10">
        <f>SUM(Q11:Q16)</f>
        <v>676</v>
      </c>
      <c r="T17" s="10">
        <f>SUM(T11:T14)</f>
        <v>120.47840000000001</v>
      </c>
      <c r="V17" s="10">
        <f>SUM(V11:V14)</f>
        <v>7.0295086730923648</v>
      </c>
      <c r="Y17" s="10">
        <f>SUM(Y11:Y14)</f>
        <v>351.64614400000005</v>
      </c>
      <c r="Z17" s="10">
        <f>SUM(Z11:Z14)</f>
        <v>1.7289639463083233</v>
      </c>
      <c r="AA17" s="10">
        <f>SUM(AA11:AA14)</f>
        <v>9.887821267928544E-2</v>
      </c>
      <c r="AB17" s="10">
        <f>SUM(AB11:AB16)</f>
        <v>1.5462639999999999</v>
      </c>
      <c r="AC17" s="10">
        <f>SUM(AC11:AC16)</f>
        <v>3.0925279999999997</v>
      </c>
      <c r="AE17" s="10">
        <f>SUM(AE11:AE16)</f>
        <v>676</v>
      </c>
      <c r="AF17" s="9"/>
      <c r="AG17" s="9"/>
      <c r="AH17" s="10">
        <f>SUM(AH11:AH14)</f>
        <v>120.47840000000001</v>
      </c>
      <c r="AJ17" s="10">
        <f>SUM(AJ11:AJ14)</f>
        <v>1.100328465254673</v>
      </c>
      <c r="AM17" s="10">
        <f>SUM(AM11:AM14)</f>
        <v>102.23353600000002</v>
      </c>
      <c r="AN17" s="10">
        <f>SUM(AN11:AN14)</f>
        <v>0.27063459681104562</v>
      </c>
      <c r="AO17" s="10">
        <f>SUM(AO11:AO14)</f>
        <v>4.7173702545103828E-2</v>
      </c>
      <c r="AP17" s="10">
        <f>SUM(AP11:AP16)</f>
        <v>1.5462639999999999</v>
      </c>
      <c r="AQ17" s="11">
        <f>SUM(AQ11:AQ16)</f>
        <v>3.0925279999999997</v>
      </c>
      <c r="AS17" s="10">
        <f>SUM(AS11:AS16)</f>
        <v>676</v>
      </c>
      <c r="AT17" s="9"/>
      <c r="AU17" s="9"/>
      <c r="AV17" s="10">
        <f>SUM(AV11:AV14)</f>
        <v>120.47840000000001</v>
      </c>
      <c r="AX17" s="10">
        <f>SUM(AX11:AX14)</f>
        <v>2.7836693345062731</v>
      </c>
      <c r="BA17" s="10">
        <f>SUM(BA11:BA14)</f>
        <v>320.62233600000008</v>
      </c>
      <c r="BB17" s="10">
        <f>SUM(BB11:BB14)</f>
        <v>0.68466576280475577</v>
      </c>
      <c r="BC17" s="10">
        <f>SUM(BC11:BC14)</f>
        <v>0.16097692845899844</v>
      </c>
      <c r="BD17" s="10">
        <f>SUM(BD11:BD16)</f>
        <v>1.5462639999999999</v>
      </c>
      <c r="BE17" s="11">
        <f>SUM(BE11:BE16)</f>
        <v>3.0925279999999997</v>
      </c>
      <c r="BG17" s="10">
        <f>SUM(BG11:BG16)</f>
        <v>456</v>
      </c>
      <c r="BH17" s="9"/>
      <c r="BI17" s="9"/>
      <c r="BJ17" s="10">
        <f>SUM(BJ11:BJ14)</f>
        <v>120.47840000000001</v>
      </c>
      <c r="BL17" s="10">
        <f>SUM(BL11:BL14)</f>
        <v>2.7836693345062731</v>
      </c>
      <c r="BO17" s="10">
        <f>SUM(BO11:BO14)</f>
        <v>122.57817600000003</v>
      </c>
      <c r="BP17" s="10">
        <f>SUM(BP11:BP14)</f>
        <v>0.4638058393193506</v>
      </c>
      <c r="BQ17" s="10">
        <f>SUM(BQ11:BQ14)</f>
        <v>4.5497217763566515E-2</v>
      </c>
      <c r="BR17" s="10">
        <f>SUM(BR11:BR16)</f>
        <v>1.04358</v>
      </c>
      <c r="BS17" s="11">
        <f>SUM(BS11:BS16)</f>
        <v>2.0871599999999999</v>
      </c>
      <c r="BU17" s="10">
        <f>SUM(BU11:BU16)</f>
        <v>456</v>
      </c>
      <c r="BV17" s="9"/>
      <c r="BW17" s="9"/>
      <c r="BX17" s="10">
        <f>SUM(BX11:BX14)</f>
        <v>120.47840000000001</v>
      </c>
      <c r="BZ17" s="10">
        <f>SUM(BZ11:BZ14)</f>
        <v>10.548347677813917</v>
      </c>
      <c r="CC17" s="10">
        <f>SUM(CC11:CC14)</f>
        <v>743.95238400000005</v>
      </c>
      <c r="CD17" s="10">
        <f>SUM(CD11:CD14)</f>
        <v>1.7575310355633702</v>
      </c>
      <c r="CE17" s="10">
        <f>SUM(CE11:CE14)</f>
        <v>0.12529789336474273</v>
      </c>
      <c r="CF17" s="10">
        <f>SUM(CF11:CF16)</f>
        <v>1.04358</v>
      </c>
      <c r="CG17" s="11">
        <f>SUM(CG11:CG16)</f>
        <v>2.0871599999999999</v>
      </c>
    </row>
    <row r="19" spans="1:85" x14ac:dyDescent="0.25">
      <c r="A19" s="37"/>
      <c r="B19" s="72" t="s">
        <v>109</v>
      </c>
      <c r="C19" s="72"/>
      <c r="D19" s="72"/>
      <c r="E19" s="72"/>
      <c r="F19" s="40"/>
      <c r="H19" s="37"/>
      <c r="I19" s="72" t="s">
        <v>98</v>
      </c>
      <c r="J19" s="72"/>
      <c r="K19" s="72"/>
      <c r="L19" s="72"/>
      <c r="M19" s="40">
        <f>SUM(I21:M33)</f>
        <v>17.286035636649462</v>
      </c>
      <c r="O19" s="37"/>
      <c r="P19" s="72" t="s">
        <v>105</v>
      </c>
      <c r="Q19" s="72"/>
      <c r="R19" s="72"/>
      <c r="S19" s="72"/>
      <c r="T19" s="40">
        <f>SUM(P21:T33)</f>
        <v>1.3626135486390907</v>
      </c>
      <c r="U19" s="58">
        <f>T19+M19</f>
        <v>18.648649185288551</v>
      </c>
      <c r="AC19" s="9" t="s">
        <v>139</v>
      </c>
      <c r="AG19">
        <f>ROUNDUP((Variables!D10-Variables!C10)/(Results!H11/10),0)</f>
        <v>5</v>
      </c>
    </row>
    <row r="20" spans="1:85" x14ac:dyDescent="0.25">
      <c r="A20" s="36" t="s">
        <v>1</v>
      </c>
      <c r="B20" t="s">
        <v>119</v>
      </c>
      <c r="C20" t="s">
        <v>91</v>
      </c>
      <c r="D20" t="s">
        <v>120</v>
      </c>
      <c r="E20" t="s">
        <v>121</v>
      </c>
      <c r="F20" t="s">
        <v>122</v>
      </c>
      <c r="H20" s="36" t="s">
        <v>1</v>
      </c>
      <c r="I20" t="s">
        <v>119</v>
      </c>
      <c r="J20" t="s">
        <v>91</v>
      </c>
      <c r="K20" t="s">
        <v>120</v>
      </c>
      <c r="L20" t="s">
        <v>121</v>
      </c>
      <c r="M20" t="s">
        <v>122</v>
      </c>
      <c r="O20" s="36" t="s">
        <v>1</v>
      </c>
      <c r="P20" t="s">
        <v>119</v>
      </c>
      <c r="Q20" t="s">
        <v>91</v>
      </c>
      <c r="R20" t="s">
        <v>120</v>
      </c>
      <c r="S20" t="s">
        <v>121</v>
      </c>
      <c r="T20" t="s">
        <v>122</v>
      </c>
      <c r="AC20" s="9" t="s">
        <v>61</v>
      </c>
      <c r="AD20" s="9">
        <v>4</v>
      </c>
      <c r="AE20" s="12"/>
    </row>
    <row r="21" spans="1:85" x14ac:dyDescent="0.25">
      <c r="A21" s="36" t="s">
        <v>3</v>
      </c>
      <c r="B21" s="55">
        <f t="shared" ref="B21:B26" si="60">V3</f>
        <v>8.4805566964305754</v>
      </c>
      <c r="C21" s="55">
        <f t="shared" ref="C21:C26" si="61">AJ3</f>
        <v>0.21202500541887595</v>
      </c>
      <c r="D21" s="55">
        <f t="shared" ref="D21:D26" si="62">AX3</f>
        <v>0.53639210869315002</v>
      </c>
      <c r="E21" s="55">
        <f t="shared" ref="E21:E26" si="63">BL3</f>
        <v>0.53639210869315002</v>
      </c>
      <c r="F21" s="55">
        <f t="shared" ref="F21:F26" si="64">BZ3</f>
        <v>2.0325871266368072</v>
      </c>
      <c r="H21" s="36" t="s">
        <v>3</v>
      </c>
      <c r="I21" s="54">
        <f t="shared" ref="I21:I26" si="65">Z3</f>
        <v>1.7474218328118158</v>
      </c>
      <c r="J21" s="54">
        <f t="shared" ref="J21:J26" si="66">AN3</f>
        <v>2.2793650700062583E-2</v>
      </c>
      <c r="K21" s="54">
        <f t="shared" ref="K21:K26" si="67">BB3</f>
        <v>5.7664586965425854E-2</v>
      </c>
      <c r="L21" s="54">
        <f t="shared" ref="L21:L26" si="68">BP3</f>
        <v>5.7664586965425854E-2</v>
      </c>
      <c r="M21" s="54">
        <f t="shared" ref="M21:M26" si="69">CD3</f>
        <v>0.21851234428917327</v>
      </c>
      <c r="N21" s="57">
        <f>SUM(I21:M21)+SUM(P21:T21)</f>
        <v>2.2427566844351552</v>
      </c>
      <c r="O21" s="36" t="s">
        <v>3</v>
      </c>
      <c r="P21" s="54">
        <f t="shared" ref="P21:P26" si="70">AA3</f>
        <v>9.9933806019562643E-2</v>
      </c>
      <c r="Q21" s="54">
        <f t="shared" ref="Q21:Q26" si="71">AO3</f>
        <v>3.9731095385136094E-3</v>
      </c>
      <c r="R21" s="54">
        <f t="shared" ref="R21:R26" si="72">BC3</f>
        <v>1.3557955713345881E-2</v>
      </c>
      <c r="S21" s="54">
        <f t="shared" ref="S21:S26" si="73">BQ3</f>
        <v>5.6566305294092059E-3</v>
      </c>
      <c r="T21" s="54">
        <f t="shared" ref="T21:T26" si="74">CE3</f>
        <v>1.5578180902420595E-2</v>
      </c>
      <c r="U21" s="9">
        <f>N21/J3</f>
        <v>0.14951711229567702</v>
      </c>
      <c r="AB21" s="9">
        <v>1</v>
      </c>
      <c r="AC21" s="9">
        <v>0</v>
      </c>
      <c r="AD21" s="9">
        <f t="shared" ref="AD21:AD32" si="75">IF(INT(AB21/$AD$20)=AB21/$AD$20,AC21,0)</f>
        <v>0</v>
      </c>
      <c r="AE21" s="12"/>
      <c r="AG21" s="9">
        <v>1</v>
      </c>
      <c r="AH21">
        <f>Variables!C$10+AG21*H$11/10</f>
        <v>19.02</v>
      </c>
      <c r="AI21">
        <f>IF(AG21&lt;=J$11,ROUNDUP(2*PI()*AH21/(I$11/10),0),0)</f>
        <v>35</v>
      </c>
      <c r="AK21">
        <f>$I$11*AG21</f>
        <v>34.700000000000003</v>
      </c>
    </row>
    <row r="22" spans="1:85" x14ac:dyDescent="0.25">
      <c r="A22" s="36" t="s">
        <v>4</v>
      </c>
      <c r="B22" s="55">
        <f t="shared" si="60"/>
        <v>21.26028449591276</v>
      </c>
      <c r="C22" s="55">
        <f t="shared" si="61"/>
        <v>0.34108370436949614</v>
      </c>
      <c r="D22" s="55">
        <f t="shared" si="62"/>
        <v>0.86289165311506721</v>
      </c>
      <c r="E22" s="55">
        <f t="shared" si="63"/>
        <v>0.86289165311506721</v>
      </c>
      <c r="F22" s="55">
        <f t="shared" si="64"/>
        <v>3.2698140732852981</v>
      </c>
      <c r="H22" s="36" t="s">
        <v>4</v>
      </c>
      <c r="I22" s="54">
        <f t="shared" si="65"/>
        <v>2.4974579640614443</v>
      </c>
      <c r="J22" s="54">
        <f t="shared" si="66"/>
        <v>2.0575100408343865E-2</v>
      </c>
      <c r="K22" s="54">
        <f t="shared" si="67"/>
        <v>5.2051980721809353E-2</v>
      </c>
      <c r="L22" s="54">
        <f t="shared" si="68"/>
        <v>5.2051980721809353E-2</v>
      </c>
      <c r="M22" s="54">
        <f t="shared" si="69"/>
        <v>0.19724411343199183</v>
      </c>
      <c r="N22" s="57">
        <f t="shared" ref="N22:N26" si="76">SUM(I22:M22)+SUM(P22:T22)</f>
        <v>2.9972016943982132</v>
      </c>
      <c r="O22" s="36" t="s">
        <v>4</v>
      </c>
      <c r="P22" s="54">
        <f t="shared" si="70"/>
        <v>0.14282783643656474</v>
      </c>
      <c r="Q22" s="54">
        <f t="shared" si="71"/>
        <v>3.5863990706869004E-3</v>
      </c>
      <c r="R22" s="54">
        <f t="shared" si="72"/>
        <v>1.2238333551948524E-2</v>
      </c>
      <c r="S22" s="54">
        <f t="shared" si="73"/>
        <v>5.106059693859316E-3</v>
      </c>
      <c r="T22" s="54">
        <f t="shared" si="74"/>
        <v>1.4061926299755421E-2</v>
      </c>
      <c r="U22" s="9">
        <f t="shared" ref="U22:U24" si="77">N22/J4</f>
        <v>0.19981344629321421</v>
      </c>
      <c r="AB22" s="9">
        <v>2</v>
      </c>
      <c r="AC22" s="9">
        <f>AB21*$I$3</f>
        <v>40.700000000000003</v>
      </c>
      <c r="AD22" s="9">
        <f t="shared" si="75"/>
        <v>0</v>
      </c>
      <c r="AE22" s="12"/>
      <c r="AG22" s="9">
        <v>2</v>
      </c>
      <c r="AH22">
        <f>Variables!C$10+AG22*H$11/10</f>
        <v>23.03</v>
      </c>
      <c r="AI22">
        <f t="shared" ref="AI22:AI30" si="78">IF(AG22&lt;=J$11,ROUNDUP(2*PI()*AH22/(I$11/10),0),0)</f>
        <v>42</v>
      </c>
      <c r="AK22">
        <f t="shared" ref="AK22:AK30" si="79">$I$11*AG22</f>
        <v>69.400000000000006</v>
      </c>
    </row>
    <row r="23" spans="1:85" x14ac:dyDescent="0.25">
      <c r="A23" s="36" t="s">
        <v>5</v>
      </c>
      <c r="B23" s="55">
        <f t="shared" si="60"/>
        <v>10.070661077011307</v>
      </c>
      <c r="C23" s="55">
        <f t="shared" si="61"/>
        <v>0.32264674737655036</v>
      </c>
      <c r="D23" s="55">
        <f t="shared" si="62"/>
        <v>0.81624886105479322</v>
      </c>
      <c r="E23" s="55">
        <f t="shared" si="63"/>
        <v>0.81624886105479322</v>
      </c>
      <c r="F23" s="55">
        <f t="shared" si="64"/>
        <v>3.0930673666212276</v>
      </c>
      <c r="H23" s="36" t="s">
        <v>5</v>
      </c>
      <c r="I23" s="54">
        <f t="shared" si="65"/>
        <v>2.3957885218645969</v>
      </c>
      <c r="J23" s="54">
        <f t="shared" si="66"/>
        <v>4.1668066399840949E-2</v>
      </c>
      <c r="K23" s="54">
        <f t="shared" si="67"/>
        <v>0.10541408527367534</v>
      </c>
      <c r="L23" s="54">
        <f t="shared" si="68"/>
        <v>0.10541408527367534</v>
      </c>
      <c r="M23" s="54">
        <f t="shared" si="69"/>
        <v>0.39945276826590914</v>
      </c>
      <c r="N23" s="57">
        <f t="shared" si="76"/>
        <v>3.255617148234653</v>
      </c>
      <c r="O23" s="36" t="s">
        <v>5</v>
      </c>
      <c r="P23" s="54">
        <f t="shared" si="70"/>
        <v>0.13701343368398622</v>
      </c>
      <c r="Q23" s="54">
        <f t="shared" si="71"/>
        <v>7.2630661162220887E-3</v>
      </c>
      <c r="R23" s="54">
        <f t="shared" si="72"/>
        <v>2.4784700193209851E-2</v>
      </c>
      <c r="S23" s="54">
        <f t="shared" si="73"/>
        <v>1.0340636504451786E-2</v>
      </c>
      <c r="T23" s="54">
        <f t="shared" si="74"/>
        <v>2.847778465908549E-2</v>
      </c>
      <c r="U23" s="9">
        <f t="shared" si="77"/>
        <v>0.10501990800756945</v>
      </c>
      <c r="AB23" s="9">
        <v>3</v>
      </c>
      <c r="AC23" s="9">
        <f t="shared" ref="AC23:AC32" si="80">AB22*$I$3</f>
        <v>81.400000000000006</v>
      </c>
      <c r="AD23" s="9">
        <f t="shared" si="75"/>
        <v>0</v>
      </c>
      <c r="AE23" s="12"/>
      <c r="AG23" s="9">
        <v>3</v>
      </c>
      <c r="AH23">
        <f>Variables!C$10+AG23*H$11/10</f>
        <v>27.04</v>
      </c>
      <c r="AI23">
        <f t="shared" si="78"/>
        <v>49</v>
      </c>
      <c r="AK23">
        <f t="shared" si="79"/>
        <v>104.10000000000001</v>
      </c>
    </row>
    <row r="24" spans="1:85" x14ac:dyDescent="0.25">
      <c r="A24" s="36" t="s">
        <v>6</v>
      </c>
      <c r="B24" s="55">
        <f t="shared" si="60"/>
        <v>4.5347421223969047</v>
      </c>
      <c r="C24" s="55">
        <f t="shared" si="61"/>
        <v>0.32264674737655036</v>
      </c>
      <c r="D24" s="55">
        <f t="shared" si="62"/>
        <v>0.81624886105479322</v>
      </c>
      <c r="E24" s="55">
        <f t="shared" si="63"/>
        <v>0.81624886105479322</v>
      </c>
      <c r="F24" s="55">
        <f t="shared" si="64"/>
        <v>3.0930673666212276</v>
      </c>
      <c r="H24" s="36" t="s">
        <v>6</v>
      </c>
      <c r="I24" s="54">
        <f t="shared" si="65"/>
        <v>1.9983831062219533</v>
      </c>
      <c r="J24" s="54">
        <f t="shared" si="66"/>
        <v>6.2561351540171173E-2</v>
      </c>
      <c r="K24" s="54">
        <f t="shared" si="67"/>
        <v>0.15827102661325218</v>
      </c>
      <c r="L24" s="54">
        <f t="shared" si="68"/>
        <v>0.15827102661325218</v>
      </c>
      <c r="M24" s="54">
        <f t="shared" si="69"/>
        <v>0.59974717375590691</v>
      </c>
      <c r="N24" s="57">
        <f t="shared" si="76"/>
        <v>3.1979198395120938</v>
      </c>
      <c r="O24" s="36" t="s">
        <v>6</v>
      </c>
      <c r="P24" s="54">
        <f t="shared" si="70"/>
        <v>0.11428610192457321</v>
      </c>
      <c r="Q24" s="54">
        <f t="shared" si="71"/>
        <v>1.0904927245633128E-2</v>
      </c>
      <c r="R24" s="54">
        <f t="shared" si="72"/>
        <v>3.7212294103742445E-2</v>
      </c>
      <c r="S24" s="54">
        <f t="shared" si="73"/>
        <v>1.5525659129375981E-2</v>
      </c>
      <c r="T24" s="54">
        <f t="shared" si="74"/>
        <v>4.2757172364233868E-2</v>
      </c>
      <c r="U24" s="9">
        <f t="shared" si="77"/>
        <v>6.6623329989835292E-2</v>
      </c>
      <c r="AB24" s="9">
        <v>4</v>
      </c>
      <c r="AC24" s="9">
        <f t="shared" si="80"/>
        <v>122.10000000000001</v>
      </c>
      <c r="AD24" s="9">
        <f t="shared" si="75"/>
        <v>122.10000000000001</v>
      </c>
      <c r="AE24" s="12"/>
      <c r="AG24" s="9">
        <v>4</v>
      </c>
      <c r="AH24">
        <f>Variables!C$10+AG24*H$11/10</f>
        <v>31.049999999999997</v>
      </c>
      <c r="AI24">
        <f t="shared" si="78"/>
        <v>57</v>
      </c>
      <c r="AK24">
        <f t="shared" si="79"/>
        <v>138.80000000000001</v>
      </c>
    </row>
    <row r="25" spans="1:85" x14ac:dyDescent="0.25">
      <c r="A25" s="36" t="s">
        <v>7</v>
      </c>
      <c r="B25" s="55">
        <f t="shared" si="60"/>
        <v>0</v>
      </c>
      <c r="C25" s="55">
        <f t="shared" si="61"/>
        <v>0</v>
      </c>
      <c r="D25" s="55">
        <f t="shared" si="62"/>
        <v>0</v>
      </c>
      <c r="E25" s="55">
        <f t="shared" si="63"/>
        <v>0</v>
      </c>
      <c r="F25" s="55">
        <f t="shared" si="64"/>
        <v>0</v>
      </c>
      <c r="H25" s="36" t="s">
        <v>7</v>
      </c>
      <c r="I25" s="54">
        <f t="shared" si="65"/>
        <v>0</v>
      </c>
      <c r="J25" s="54">
        <f t="shared" si="66"/>
        <v>0</v>
      </c>
      <c r="K25" s="54">
        <f t="shared" si="67"/>
        <v>0</v>
      </c>
      <c r="L25" s="54">
        <f t="shared" si="68"/>
        <v>0</v>
      </c>
      <c r="M25" s="54">
        <f t="shared" si="69"/>
        <v>0</v>
      </c>
      <c r="N25" s="57">
        <f t="shared" si="76"/>
        <v>0</v>
      </c>
      <c r="O25" s="36" t="s">
        <v>7</v>
      </c>
      <c r="P25" s="54">
        <f t="shared" si="70"/>
        <v>0</v>
      </c>
      <c r="Q25" s="54">
        <f t="shared" si="71"/>
        <v>0</v>
      </c>
      <c r="R25" s="54">
        <f t="shared" si="72"/>
        <v>0</v>
      </c>
      <c r="S25" s="54">
        <f t="shared" si="73"/>
        <v>0</v>
      </c>
      <c r="T25" s="54">
        <f t="shared" si="74"/>
        <v>0</v>
      </c>
      <c r="AB25" s="9">
        <v>5</v>
      </c>
      <c r="AC25" s="9">
        <f t="shared" si="80"/>
        <v>162.80000000000001</v>
      </c>
      <c r="AD25" s="9">
        <f t="shared" si="75"/>
        <v>0</v>
      </c>
      <c r="AE25" s="12"/>
      <c r="AG25" s="9">
        <v>5</v>
      </c>
      <c r="AH25">
        <f>Variables!C$10+AG25*H$11/10</f>
        <v>35.06</v>
      </c>
      <c r="AI25">
        <f t="shared" si="78"/>
        <v>64</v>
      </c>
      <c r="AK25">
        <f t="shared" si="79"/>
        <v>173.5</v>
      </c>
    </row>
    <row r="26" spans="1:85" x14ac:dyDescent="0.25">
      <c r="A26" s="36" t="s">
        <v>8</v>
      </c>
      <c r="B26" s="55">
        <f t="shared" si="60"/>
        <v>0</v>
      </c>
      <c r="C26" s="55">
        <f t="shared" si="61"/>
        <v>0</v>
      </c>
      <c r="D26" s="55">
        <f t="shared" si="62"/>
        <v>0</v>
      </c>
      <c r="E26" s="55">
        <f t="shared" si="63"/>
        <v>0</v>
      </c>
      <c r="F26" s="55">
        <f t="shared" si="64"/>
        <v>0</v>
      </c>
      <c r="H26" s="36" t="s">
        <v>8</v>
      </c>
      <c r="I26" s="54">
        <f t="shared" si="65"/>
        <v>0</v>
      </c>
      <c r="J26" s="54">
        <f t="shared" si="66"/>
        <v>0</v>
      </c>
      <c r="K26" s="54">
        <f t="shared" si="67"/>
        <v>0</v>
      </c>
      <c r="L26" s="54">
        <f t="shared" si="68"/>
        <v>0</v>
      </c>
      <c r="M26" s="54">
        <f t="shared" si="69"/>
        <v>0</v>
      </c>
      <c r="N26" s="57">
        <f t="shared" si="76"/>
        <v>0</v>
      </c>
      <c r="O26" s="36" t="s">
        <v>8</v>
      </c>
      <c r="P26" s="54">
        <f t="shared" si="70"/>
        <v>0</v>
      </c>
      <c r="Q26" s="54">
        <f t="shared" si="71"/>
        <v>0</v>
      </c>
      <c r="R26" s="54">
        <f t="shared" si="72"/>
        <v>0</v>
      </c>
      <c r="S26" s="54">
        <f t="shared" si="73"/>
        <v>0</v>
      </c>
      <c r="T26" s="54">
        <f t="shared" si="74"/>
        <v>0</v>
      </c>
      <c r="AB26" s="9">
        <v>6</v>
      </c>
      <c r="AC26" s="9">
        <f t="shared" si="80"/>
        <v>203.5</v>
      </c>
      <c r="AD26" s="9">
        <f t="shared" si="75"/>
        <v>0</v>
      </c>
      <c r="AE26" s="12"/>
      <c r="AG26" s="9">
        <v>6</v>
      </c>
      <c r="AH26">
        <f>Variables!C$10+AG26*H$11/10</f>
        <v>39.07</v>
      </c>
      <c r="AI26">
        <f t="shared" si="78"/>
        <v>0</v>
      </c>
      <c r="AK26">
        <f t="shared" si="79"/>
        <v>208.20000000000002</v>
      </c>
    </row>
    <row r="27" spans="1:85" x14ac:dyDescent="0.25">
      <c r="A27" s="36" t="s">
        <v>12</v>
      </c>
      <c r="B27" s="55"/>
      <c r="C27" s="55"/>
      <c r="D27" s="55"/>
      <c r="E27" s="55"/>
      <c r="F27" s="55"/>
      <c r="H27" s="36" t="s">
        <v>12</v>
      </c>
      <c r="I27" s="54"/>
      <c r="J27" s="54"/>
      <c r="K27" s="54"/>
      <c r="L27" s="54"/>
      <c r="M27" s="54"/>
      <c r="O27" s="36" t="s">
        <v>12</v>
      </c>
      <c r="P27" s="54"/>
      <c r="Q27" s="54"/>
      <c r="R27" s="54"/>
      <c r="S27" s="54"/>
      <c r="T27" s="54"/>
      <c r="AB27" s="9">
        <v>7</v>
      </c>
      <c r="AC27" s="9">
        <f t="shared" si="80"/>
        <v>244.20000000000002</v>
      </c>
      <c r="AD27" s="9">
        <f t="shared" si="75"/>
        <v>0</v>
      </c>
      <c r="AE27" s="12"/>
      <c r="AG27" s="9">
        <v>7</v>
      </c>
      <c r="AH27">
        <f>Variables!C$10+AG27*H$11/10</f>
        <v>43.08</v>
      </c>
      <c r="AI27">
        <f t="shared" si="78"/>
        <v>0</v>
      </c>
      <c r="AK27">
        <f t="shared" si="79"/>
        <v>242.90000000000003</v>
      </c>
    </row>
    <row r="28" spans="1:85" x14ac:dyDescent="0.25">
      <c r="A28" s="36" t="s">
        <v>13</v>
      </c>
      <c r="B28" s="55">
        <f>V11</f>
        <v>1.7573771682730912</v>
      </c>
      <c r="C28" s="55">
        <f>AJ11</f>
        <v>0.27508211631366825</v>
      </c>
      <c r="D28" s="55">
        <f>AX11</f>
        <v>0.69591733362656827</v>
      </c>
      <c r="E28" s="55">
        <f>BL11</f>
        <v>0.69591733362656827</v>
      </c>
      <c r="F28" s="55">
        <f>BZ11</f>
        <v>2.6370869194534792</v>
      </c>
      <c r="H28" s="36" t="s">
        <v>13</v>
      </c>
      <c r="I28" s="54">
        <f>Z11</f>
        <v>0.47691844845242043</v>
      </c>
      <c r="J28" s="54">
        <f>AN11</f>
        <v>7.4652008958464022E-2</v>
      </c>
      <c r="K28" s="54">
        <f>BB11</f>
        <v>0.1888586132767788</v>
      </c>
      <c r="L28" s="54">
        <f>BP11</f>
        <v>0.12793647996168889</v>
      </c>
      <c r="M28" s="54">
        <f>CD11</f>
        <v>0.48479841142875035</v>
      </c>
      <c r="O28" s="36" t="s">
        <v>13</v>
      </c>
      <c r="P28" s="54">
        <f>AA11</f>
        <v>2.7274625290736893E-2</v>
      </c>
      <c r="Q28" s="54">
        <f>AO11</f>
        <v>1.3012422308518679E-2</v>
      </c>
      <c r="R28" s="54">
        <f>BC11</f>
        <v>4.4403972171442284E-2</v>
      </c>
      <c r="S28" s="54">
        <f>BQ11</f>
        <v>1.2549979744246554E-2</v>
      </c>
      <c r="T28" s="54">
        <f>CE11</f>
        <v>3.456224580359965E-2</v>
      </c>
      <c r="AB28" s="9">
        <v>8</v>
      </c>
      <c r="AC28" s="9">
        <f t="shared" si="80"/>
        <v>284.90000000000003</v>
      </c>
      <c r="AD28" s="9">
        <f t="shared" si="75"/>
        <v>284.90000000000003</v>
      </c>
      <c r="AE28" s="12"/>
      <c r="AG28" s="9">
        <v>8</v>
      </c>
      <c r="AH28">
        <f>Variables!C$10+AG28*H$11/10</f>
        <v>47.089999999999996</v>
      </c>
      <c r="AI28">
        <f t="shared" si="78"/>
        <v>0</v>
      </c>
      <c r="AK28">
        <f t="shared" si="79"/>
        <v>277.60000000000002</v>
      </c>
    </row>
    <row r="29" spans="1:85" x14ac:dyDescent="0.25">
      <c r="A29" s="36" t="s">
        <v>14</v>
      </c>
      <c r="B29" s="55">
        <f t="shared" ref="B29:B33" si="81">V12</f>
        <v>1.7573771682730912</v>
      </c>
      <c r="C29" s="55">
        <f t="shared" ref="C29:C33" si="82">AJ12</f>
        <v>0.27508211631366825</v>
      </c>
      <c r="D29" s="55">
        <f t="shared" ref="D29:D33" si="83">AX12</f>
        <v>0.69591733362656827</v>
      </c>
      <c r="E29" s="55">
        <f t="shared" ref="E29:E33" si="84">BL12</f>
        <v>0.69591733362656827</v>
      </c>
      <c r="F29" s="55">
        <f t="shared" ref="F29:F33" si="85">BZ12</f>
        <v>2.6370869194534792</v>
      </c>
      <c r="H29" s="36" t="s">
        <v>14</v>
      </c>
      <c r="I29" s="54">
        <f t="shared" ref="I29:I33" si="86">Z12</f>
        <v>0.44426263294514412</v>
      </c>
      <c r="J29" s="54">
        <f t="shared" ref="J29:J33" si="87">AN12</f>
        <v>6.954039660690628E-2</v>
      </c>
      <c r="K29" s="54">
        <f t="shared" ref="K29:K33" si="88">BB12</f>
        <v>0.17592698512915891</v>
      </c>
      <c r="L29" s="54">
        <f t="shared" ref="L29:L33" si="89">BP12</f>
        <v>0.11917634476491408</v>
      </c>
      <c r="M29" s="54">
        <f t="shared" ref="M29:M33" si="90">CD12</f>
        <v>0.45160303487493825</v>
      </c>
      <c r="O29" s="36" t="s">
        <v>14</v>
      </c>
      <c r="P29" s="54">
        <f t="shared" ref="P29:P33" si="91">AA12</f>
        <v>2.5407062535690198E-2</v>
      </c>
      <c r="Q29" s="54">
        <f t="shared" ref="Q29:Q33" si="92">AO12</f>
        <v>1.2121428756919583E-2</v>
      </c>
      <c r="R29" s="54">
        <f t="shared" ref="R29:R33" si="93">BC12</f>
        <v>4.1363519599883783E-2</v>
      </c>
      <c r="S29" s="54">
        <f t="shared" ref="S29:S33" si="94">BQ12</f>
        <v>1.1690650807657814E-2</v>
      </c>
      <c r="T29" s="54">
        <f t="shared" ref="T29:T33" si="95">CE12</f>
        <v>3.2195681192517957E-2</v>
      </c>
      <c r="AB29" s="9">
        <v>9</v>
      </c>
      <c r="AC29" s="9">
        <f t="shared" si="80"/>
        <v>325.60000000000002</v>
      </c>
      <c r="AD29" s="9">
        <f t="shared" si="75"/>
        <v>0</v>
      </c>
      <c r="AE29" s="12"/>
      <c r="AG29" s="9">
        <v>9</v>
      </c>
      <c r="AH29">
        <f>Variables!C$10+AG29*H$11/10</f>
        <v>51.1</v>
      </c>
      <c r="AI29">
        <f t="shared" si="78"/>
        <v>0</v>
      </c>
      <c r="AK29">
        <f t="shared" si="79"/>
        <v>312.3</v>
      </c>
    </row>
    <row r="30" spans="1:85" x14ac:dyDescent="0.25">
      <c r="A30" s="36" t="s">
        <v>15</v>
      </c>
      <c r="B30" s="55">
        <f t="shared" si="81"/>
        <v>1.7573771682730912</v>
      </c>
      <c r="C30" s="55">
        <f t="shared" si="82"/>
        <v>0.27508211631366825</v>
      </c>
      <c r="D30" s="55">
        <f t="shared" si="83"/>
        <v>0.69591733362656827</v>
      </c>
      <c r="E30" s="55">
        <f t="shared" si="84"/>
        <v>0.69591733362656827</v>
      </c>
      <c r="F30" s="55">
        <f t="shared" si="85"/>
        <v>2.6370869194534792</v>
      </c>
      <c r="H30" s="36" t="s">
        <v>15</v>
      </c>
      <c r="I30" s="54">
        <f t="shared" si="86"/>
        <v>0.41734849928530093</v>
      </c>
      <c r="J30" s="54">
        <f t="shared" si="87"/>
        <v>6.5327529284193872E-2</v>
      </c>
      <c r="K30" s="54">
        <f t="shared" si="88"/>
        <v>0.16526904984265897</v>
      </c>
      <c r="L30" s="54">
        <f t="shared" si="89"/>
        <v>0.11195645311922059</v>
      </c>
      <c r="M30" s="54">
        <f t="shared" si="90"/>
        <v>0.42424420804487328</v>
      </c>
      <c r="O30" s="36" t="s">
        <v>15</v>
      </c>
      <c r="P30" s="54">
        <f t="shared" si="91"/>
        <v>2.3867862462849516E-2</v>
      </c>
      <c r="Q30" s="54">
        <f t="shared" si="92"/>
        <v>1.138709341219505E-2</v>
      </c>
      <c r="R30" s="54">
        <f t="shared" si="93"/>
        <v>3.8857652095852055E-2</v>
      </c>
      <c r="S30" s="54">
        <f t="shared" si="94"/>
        <v>1.0982412673106654E-2</v>
      </c>
      <c r="T30" s="54">
        <f t="shared" si="95"/>
        <v>3.0245215853714365E-2</v>
      </c>
      <c r="AB30" s="9">
        <v>10</v>
      </c>
      <c r="AC30" s="9">
        <f t="shared" si="80"/>
        <v>366.3</v>
      </c>
      <c r="AD30" s="9">
        <f t="shared" si="75"/>
        <v>0</v>
      </c>
      <c r="AE30" s="12"/>
      <c r="AG30" s="9">
        <v>10</v>
      </c>
      <c r="AH30">
        <f>Variables!C$10+AG30*H$11/10</f>
        <v>55.11</v>
      </c>
      <c r="AI30">
        <f t="shared" si="78"/>
        <v>0</v>
      </c>
      <c r="AK30">
        <f t="shared" si="79"/>
        <v>347</v>
      </c>
    </row>
    <row r="31" spans="1:85" x14ac:dyDescent="0.25">
      <c r="A31" s="36" t="s">
        <v>16</v>
      </c>
      <c r="B31" s="55">
        <f t="shared" si="81"/>
        <v>1.7573771682730912</v>
      </c>
      <c r="C31" s="55">
        <f t="shared" si="82"/>
        <v>0.27508211631366825</v>
      </c>
      <c r="D31" s="55">
        <f t="shared" si="83"/>
        <v>0.69591733362656827</v>
      </c>
      <c r="E31" s="55">
        <f t="shared" si="84"/>
        <v>0.69591733362656827</v>
      </c>
      <c r="F31" s="55">
        <f t="shared" si="85"/>
        <v>2.6370869194534792</v>
      </c>
      <c r="H31" s="36" t="s">
        <v>16</v>
      </c>
      <c r="I31" s="54">
        <f t="shared" si="86"/>
        <v>0.3904343656254578</v>
      </c>
      <c r="J31" s="54">
        <f t="shared" si="87"/>
        <v>6.1114661961481451E-2</v>
      </c>
      <c r="K31" s="54">
        <f t="shared" si="88"/>
        <v>0.15461111455615903</v>
      </c>
      <c r="L31" s="54">
        <f t="shared" si="89"/>
        <v>0.10473656147352707</v>
      </c>
      <c r="M31" s="54">
        <f t="shared" si="90"/>
        <v>0.39688538121480837</v>
      </c>
      <c r="O31" s="36" t="s">
        <v>16</v>
      </c>
      <c r="P31" s="54">
        <f t="shared" si="91"/>
        <v>2.2328662390008833E-2</v>
      </c>
      <c r="Q31" s="54">
        <f t="shared" si="92"/>
        <v>1.0652758067470521E-2</v>
      </c>
      <c r="R31" s="54">
        <f t="shared" si="93"/>
        <v>3.635178459182032E-2</v>
      </c>
      <c r="S31" s="54">
        <f t="shared" si="94"/>
        <v>1.0274174538555494E-2</v>
      </c>
      <c r="T31" s="54">
        <f t="shared" si="95"/>
        <v>2.8294750514910774E-2</v>
      </c>
      <c r="AB31" s="9">
        <v>11</v>
      </c>
      <c r="AC31" s="9">
        <f t="shared" si="80"/>
        <v>407</v>
      </c>
      <c r="AD31" s="9">
        <f t="shared" si="75"/>
        <v>0</v>
      </c>
      <c r="AE31" s="12"/>
      <c r="AI31">
        <f>+SUM(AI21:AI28)</f>
        <v>247</v>
      </c>
      <c r="AL31">
        <f>SUM(AK21:AK25)</f>
        <v>520.5</v>
      </c>
    </row>
    <row r="32" spans="1:85" x14ac:dyDescent="0.25">
      <c r="A32" s="36" t="s">
        <v>17</v>
      </c>
      <c r="B32" s="55">
        <f t="shared" si="81"/>
        <v>1.2050586296729768</v>
      </c>
      <c r="C32" s="55">
        <f t="shared" si="82"/>
        <v>0.18862773690080106</v>
      </c>
      <c r="D32" s="55">
        <f t="shared" si="83"/>
        <v>0.47720045734393246</v>
      </c>
      <c r="E32" s="55">
        <f t="shared" si="84"/>
        <v>0.47720045734393246</v>
      </c>
      <c r="F32" s="55">
        <f t="shared" si="85"/>
        <v>1.8082881733395288</v>
      </c>
      <c r="H32" s="36" t="s">
        <v>17</v>
      </c>
      <c r="I32" s="54">
        <f t="shared" si="86"/>
        <v>0.29316147739162474</v>
      </c>
      <c r="J32" s="54">
        <f t="shared" si="87"/>
        <v>4.5888544063523405E-2</v>
      </c>
      <c r="K32" s="54">
        <f t="shared" si="88"/>
        <v>0.11609127360456378</v>
      </c>
      <c r="L32" s="54">
        <f t="shared" si="89"/>
        <v>7.6620240579012108E-2</v>
      </c>
      <c r="M32" s="54">
        <f t="shared" si="90"/>
        <v>0.29034229273086981</v>
      </c>
      <c r="O32" s="36" t="s">
        <v>17</v>
      </c>
      <c r="P32" s="54">
        <f t="shared" si="91"/>
        <v>1.676569541707109E-2</v>
      </c>
      <c r="Q32" s="54">
        <f t="shared" si="92"/>
        <v>7.9987280022145082E-3</v>
      </c>
      <c r="R32" s="54">
        <f t="shared" si="93"/>
        <v>2.7295094425635956E-2</v>
      </c>
      <c r="S32" s="54">
        <f t="shared" si="94"/>
        <v>7.5160928888605479E-3</v>
      </c>
      <c r="T32" s="54">
        <f t="shared" si="95"/>
        <v>2.0699081209798499E-2</v>
      </c>
      <c r="AB32" s="9">
        <v>12</v>
      </c>
      <c r="AC32" s="9">
        <f t="shared" si="80"/>
        <v>447.70000000000005</v>
      </c>
      <c r="AD32" s="9">
        <f t="shared" si="75"/>
        <v>447.70000000000005</v>
      </c>
      <c r="AE32" s="12"/>
    </row>
    <row r="33" spans="1:31" x14ac:dyDescent="0.25">
      <c r="A33" s="36" t="s">
        <v>18</v>
      </c>
      <c r="B33" s="55">
        <f t="shared" si="81"/>
        <v>0.75316164354561044</v>
      </c>
      <c r="C33" s="55">
        <f t="shared" si="82"/>
        <v>0.11789233556300067</v>
      </c>
      <c r="D33" s="55">
        <f t="shared" si="83"/>
        <v>0.29825028583995777</v>
      </c>
      <c r="E33" s="55">
        <f t="shared" si="84"/>
        <v>0.29825028583995777</v>
      </c>
      <c r="F33" s="55">
        <f t="shared" si="85"/>
        <v>1.1301801083372054</v>
      </c>
      <c r="H33" s="36" t="s">
        <v>18</v>
      </c>
      <c r="I33" s="54">
        <f t="shared" si="86"/>
        <v>0.21531306927874511</v>
      </c>
      <c r="J33" s="54">
        <f t="shared" si="87"/>
        <v>3.3702938581699329E-2</v>
      </c>
      <c r="K33" s="54">
        <f t="shared" si="88"/>
        <v>8.5263482291999468E-2</v>
      </c>
      <c r="L33" s="54">
        <f t="shared" si="89"/>
        <v>5.7552850547099646E-2</v>
      </c>
      <c r="M33" s="54">
        <f t="shared" si="90"/>
        <v>0.21808893387394604</v>
      </c>
      <c r="O33" s="36" t="s">
        <v>18</v>
      </c>
      <c r="P33" s="54">
        <f t="shared" si="91"/>
        <v>1.2313600582725463E-2</v>
      </c>
      <c r="Q33" s="54">
        <f t="shared" si="92"/>
        <v>5.8746827577962433E-3</v>
      </c>
      <c r="R33" s="54">
        <f t="shared" si="93"/>
        <v>2.0046940032253852E-2</v>
      </c>
      <c r="S33" s="54">
        <f t="shared" si="94"/>
        <v>5.6456697011363893E-3</v>
      </c>
      <c r="T33" s="54">
        <f t="shared" si="95"/>
        <v>1.5547995129320062E-2</v>
      </c>
      <c r="AC33" s="9">
        <f>SUM(AC21:AC32)/10</f>
        <v>268.62</v>
      </c>
      <c r="AD33" s="9">
        <f>SUM(AD21:AD32)/10</f>
        <v>85.47</v>
      </c>
      <c r="AE33" s="12">
        <f>AD33*AD20</f>
        <v>341.88</v>
      </c>
    </row>
    <row r="34" spans="1:31" x14ac:dyDescent="0.25">
      <c r="AB34" s="9">
        <v>12</v>
      </c>
      <c r="AC34" s="9">
        <f>AB34*I3/2/10</f>
        <v>24.42</v>
      </c>
      <c r="AD34" s="9">
        <f>ROUNDUP(AB34/AD20,0)*I3/2/10</f>
        <v>6.1050000000000004</v>
      </c>
      <c r="AE34" s="12"/>
    </row>
    <row r="35" spans="1:31" x14ac:dyDescent="0.25">
      <c r="A35" s="37"/>
      <c r="B35" s="72" t="s">
        <v>143</v>
      </c>
      <c r="C35" s="72"/>
      <c r="D35" s="72"/>
      <c r="E35" s="72"/>
      <c r="F35" s="38"/>
      <c r="H35" s="37"/>
      <c r="I35" s="72" t="s">
        <v>124</v>
      </c>
      <c r="J35" s="72"/>
      <c r="K35" s="72"/>
      <c r="L35" s="72"/>
      <c r="M35" s="39">
        <f>SUM(I37:M48)</f>
        <v>5432</v>
      </c>
      <c r="O35" s="37"/>
      <c r="P35" s="72" t="s">
        <v>100</v>
      </c>
      <c r="Q35" s="72"/>
      <c r="R35" s="72"/>
      <c r="S35" s="72"/>
      <c r="T35" s="40">
        <f>SUM(P37:T48)</f>
        <v>4110.6999440000018</v>
      </c>
      <c r="AC35" s="9">
        <f>SUM(AC33:AC34)</f>
        <v>293.04000000000002</v>
      </c>
      <c r="AD35" s="9">
        <f>SUM(AD33:AD34)</f>
        <v>91.575000000000003</v>
      </c>
      <c r="AE35" s="12"/>
    </row>
    <row r="36" spans="1:31" x14ac:dyDescent="0.25">
      <c r="A36" s="36" t="s">
        <v>1</v>
      </c>
      <c r="B36" t="s">
        <v>119</v>
      </c>
      <c r="C36" t="s">
        <v>91</v>
      </c>
      <c r="D36" t="s">
        <v>120</v>
      </c>
      <c r="E36" t="s">
        <v>121</v>
      </c>
      <c r="F36" t="s">
        <v>122</v>
      </c>
      <c r="H36" s="36" t="s">
        <v>1</v>
      </c>
      <c r="I36" t="s">
        <v>119</v>
      </c>
      <c r="J36" t="s">
        <v>91</v>
      </c>
      <c r="K36" t="s">
        <v>120</v>
      </c>
      <c r="L36" t="s">
        <v>121</v>
      </c>
      <c r="M36" t="s">
        <v>122</v>
      </c>
      <c r="O36" s="36" t="s">
        <v>1</v>
      </c>
      <c r="P36" t="s">
        <v>119</v>
      </c>
      <c r="Q36" t="s">
        <v>91</v>
      </c>
      <c r="R36" t="s">
        <v>120</v>
      </c>
      <c r="S36" t="s">
        <v>121</v>
      </c>
      <c r="T36" t="s">
        <v>122</v>
      </c>
    </row>
    <row r="37" spans="1:31" x14ac:dyDescent="0.25">
      <c r="A37" s="36" t="s">
        <v>3</v>
      </c>
      <c r="B37">
        <f t="shared" ref="B37:B42" si="96">P3</f>
        <v>12</v>
      </c>
      <c r="C37">
        <f t="shared" ref="C37:C42" si="97">AD3</f>
        <v>1</v>
      </c>
      <c r="D37">
        <f t="shared" ref="D37:D42" si="98">AR3</f>
        <v>1</v>
      </c>
      <c r="E37">
        <f t="shared" ref="E37:E42" si="99">BF3</f>
        <v>1</v>
      </c>
      <c r="F37">
        <f t="shared" ref="F37:F42" si="100">BT3</f>
        <v>1</v>
      </c>
      <c r="H37" s="36" t="s">
        <v>3</v>
      </c>
      <c r="I37">
        <f t="shared" ref="I37:I42" si="101">Q3</f>
        <v>360</v>
      </c>
      <c r="J37">
        <f t="shared" ref="J37:J42" si="102">AE3</f>
        <v>30</v>
      </c>
      <c r="K37">
        <f t="shared" ref="K37:K42" si="103">AS3</f>
        <v>30</v>
      </c>
      <c r="L37">
        <f t="shared" ref="L37:L42" si="104">BG3</f>
        <v>30</v>
      </c>
      <c r="M37">
        <f t="shared" ref="M37:M42" si="105">BU3</f>
        <v>30</v>
      </c>
      <c r="O37" s="36" t="s">
        <v>3</v>
      </c>
      <c r="P37" s="56">
        <f t="shared" ref="P37:P42" si="106">Y3</f>
        <v>255.22704000000004</v>
      </c>
      <c r="Q37" s="56">
        <f t="shared" ref="Q37:Q42" si="107">AM3</f>
        <v>6.1834800000000003</v>
      </c>
      <c r="R37" s="56">
        <f t="shared" ref="R37:R42" si="108">BA3</f>
        <v>19.392480000000003</v>
      </c>
      <c r="S37" s="56">
        <f t="shared" ref="S37:S42" si="109">BO3</f>
        <v>10.944480000000002</v>
      </c>
      <c r="T37" s="56">
        <f t="shared" ref="T37:T42" si="110">CC3</f>
        <v>66.424320000000009</v>
      </c>
    </row>
    <row r="38" spans="1:31" x14ac:dyDescent="0.25">
      <c r="A38" s="36" t="s">
        <v>4</v>
      </c>
      <c r="B38">
        <f t="shared" si="96"/>
        <v>19</v>
      </c>
      <c r="C38">
        <f t="shared" si="97"/>
        <v>1</v>
      </c>
      <c r="D38">
        <f t="shared" si="98"/>
        <v>1</v>
      </c>
      <c r="E38">
        <f t="shared" si="99"/>
        <v>1</v>
      </c>
      <c r="F38">
        <f t="shared" si="100"/>
        <v>1</v>
      </c>
      <c r="H38" s="36" t="s">
        <v>4</v>
      </c>
      <c r="I38">
        <f t="shared" si="101"/>
        <v>570</v>
      </c>
      <c r="J38">
        <f t="shared" si="102"/>
        <v>30</v>
      </c>
      <c r="K38">
        <f t="shared" si="103"/>
        <v>30</v>
      </c>
      <c r="L38">
        <f t="shared" si="104"/>
        <v>30</v>
      </c>
      <c r="M38">
        <f t="shared" si="105"/>
        <v>30</v>
      </c>
      <c r="O38" s="36" t="s">
        <v>4</v>
      </c>
      <c r="P38" s="56">
        <f t="shared" si="106"/>
        <v>404.10948000000008</v>
      </c>
      <c r="Q38" s="56">
        <f t="shared" si="107"/>
        <v>6.1834800000000003</v>
      </c>
      <c r="R38" s="56">
        <f t="shared" si="108"/>
        <v>19.392480000000003</v>
      </c>
      <c r="S38" s="56">
        <f t="shared" si="109"/>
        <v>10.944480000000002</v>
      </c>
      <c r="T38" s="56">
        <f t="shared" si="110"/>
        <v>66.424320000000009</v>
      </c>
    </row>
    <row r="39" spans="1:31" x14ac:dyDescent="0.25">
      <c r="A39" s="36" t="s">
        <v>5</v>
      </c>
      <c r="B39">
        <f t="shared" si="96"/>
        <v>9</v>
      </c>
      <c r="C39">
        <f t="shared" si="97"/>
        <v>1</v>
      </c>
      <c r="D39">
        <f t="shared" si="98"/>
        <v>1</v>
      </c>
      <c r="E39">
        <f t="shared" si="99"/>
        <v>1</v>
      </c>
      <c r="F39">
        <f t="shared" si="100"/>
        <v>1</v>
      </c>
      <c r="H39" s="36" t="s">
        <v>5</v>
      </c>
      <c r="I39">
        <f t="shared" si="101"/>
        <v>558</v>
      </c>
      <c r="J39">
        <f t="shared" si="102"/>
        <v>62</v>
      </c>
      <c r="K39">
        <f t="shared" si="103"/>
        <v>62</v>
      </c>
      <c r="L39">
        <f t="shared" si="104"/>
        <v>62</v>
      </c>
      <c r="M39">
        <f t="shared" si="105"/>
        <v>62</v>
      </c>
      <c r="O39" s="36" t="s">
        <v>5</v>
      </c>
      <c r="P39" s="56">
        <f t="shared" si="106"/>
        <v>395.60191200000008</v>
      </c>
      <c r="Q39" s="56">
        <f t="shared" si="107"/>
        <v>12.779192000000002</v>
      </c>
      <c r="R39" s="56">
        <f t="shared" si="108"/>
        <v>40.077792000000009</v>
      </c>
      <c r="S39" s="56">
        <f t="shared" si="109"/>
        <v>22.618592000000007</v>
      </c>
      <c r="T39" s="56">
        <f t="shared" si="110"/>
        <v>137.276928</v>
      </c>
    </row>
    <row r="40" spans="1:31" x14ac:dyDescent="0.25">
      <c r="A40" s="36" t="s">
        <v>6</v>
      </c>
      <c r="B40">
        <f t="shared" si="96"/>
        <v>5</v>
      </c>
      <c r="C40">
        <f t="shared" si="97"/>
        <v>1</v>
      </c>
      <c r="D40">
        <f t="shared" si="98"/>
        <v>1</v>
      </c>
      <c r="E40">
        <f t="shared" si="99"/>
        <v>1</v>
      </c>
      <c r="F40">
        <f t="shared" si="100"/>
        <v>1</v>
      </c>
      <c r="H40" s="36" t="s">
        <v>6</v>
      </c>
      <c r="I40">
        <f t="shared" si="101"/>
        <v>480</v>
      </c>
      <c r="J40">
        <f t="shared" si="102"/>
        <v>96</v>
      </c>
      <c r="K40">
        <f t="shared" si="103"/>
        <v>96</v>
      </c>
      <c r="L40">
        <f t="shared" si="104"/>
        <v>96</v>
      </c>
      <c r="M40">
        <f t="shared" si="105"/>
        <v>96</v>
      </c>
      <c r="O40" s="36" t="s">
        <v>6</v>
      </c>
      <c r="P40" s="56">
        <f t="shared" si="106"/>
        <v>340.30272000000008</v>
      </c>
      <c r="Q40" s="56">
        <f t="shared" si="107"/>
        <v>19.787136000000004</v>
      </c>
      <c r="R40" s="56">
        <f t="shared" si="108"/>
        <v>62.05593600000001</v>
      </c>
      <c r="S40" s="56">
        <f t="shared" si="109"/>
        <v>35.02233600000001</v>
      </c>
      <c r="T40" s="56">
        <f t="shared" si="110"/>
        <v>212.55782400000001</v>
      </c>
    </row>
    <row r="41" spans="1:31" x14ac:dyDescent="0.25">
      <c r="A41" s="36" t="s">
        <v>7</v>
      </c>
      <c r="B41">
        <f t="shared" si="96"/>
        <v>0</v>
      </c>
      <c r="C41">
        <f t="shared" si="97"/>
        <v>0</v>
      </c>
      <c r="D41">
        <f t="shared" si="98"/>
        <v>0</v>
      </c>
      <c r="E41">
        <f t="shared" si="99"/>
        <v>0</v>
      </c>
      <c r="F41">
        <f t="shared" si="100"/>
        <v>0</v>
      </c>
      <c r="H41" s="36" t="s">
        <v>7</v>
      </c>
      <c r="I41">
        <f t="shared" si="101"/>
        <v>0</v>
      </c>
      <c r="J41">
        <f t="shared" si="102"/>
        <v>0</v>
      </c>
      <c r="K41">
        <f t="shared" si="103"/>
        <v>0</v>
      </c>
      <c r="L41">
        <f t="shared" si="104"/>
        <v>0</v>
      </c>
      <c r="M41">
        <f t="shared" si="105"/>
        <v>0</v>
      </c>
      <c r="O41" s="36" t="s">
        <v>7</v>
      </c>
      <c r="P41" s="56">
        <f t="shared" si="106"/>
        <v>0</v>
      </c>
      <c r="Q41" s="56">
        <f t="shared" si="107"/>
        <v>0</v>
      </c>
      <c r="R41" s="56">
        <f t="shared" si="108"/>
        <v>0</v>
      </c>
      <c r="S41" s="56">
        <f t="shared" si="109"/>
        <v>0</v>
      </c>
      <c r="T41" s="56">
        <f t="shared" si="110"/>
        <v>0</v>
      </c>
    </row>
    <row r="42" spans="1:31" x14ac:dyDescent="0.25">
      <c r="A42" s="36" t="s">
        <v>8</v>
      </c>
      <c r="B42">
        <f t="shared" si="96"/>
        <v>0</v>
      </c>
      <c r="C42">
        <f t="shared" si="97"/>
        <v>0</v>
      </c>
      <c r="D42">
        <f t="shared" si="98"/>
        <v>0</v>
      </c>
      <c r="E42">
        <f t="shared" si="99"/>
        <v>0</v>
      </c>
      <c r="F42">
        <f t="shared" si="100"/>
        <v>0</v>
      </c>
      <c r="H42" s="36" t="s">
        <v>8</v>
      </c>
      <c r="I42">
        <f t="shared" si="101"/>
        <v>0</v>
      </c>
      <c r="J42">
        <f t="shared" si="102"/>
        <v>0</v>
      </c>
      <c r="K42">
        <f t="shared" si="103"/>
        <v>0</v>
      </c>
      <c r="L42">
        <f t="shared" si="104"/>
        <v>0</v>
      </c>
      <c r="M42">
        <f t="shared" si="105"/>
        <v>0</v>
      </c>
      <c r="O42" s="36" t="s">
        <v>8</v>
      </c>
      <c r="P42" s="56">
        <f t="shared" si="106"/>
        <v>0</v>
      </c>
      <c r="Q42" s="56">
        <f t="shared" si="107"/>
        <v>0</v>
      </c>
      <c r="R42" s="56">
        <f t="shared" si="108"/>
        <v>0</v>
      </c>
      <c r="S42" s="56">
        <f t="shared" si="109"/>
        <v>0</v>
      </c>
      <c r="T42" s="56">
        <f t="shared" si="110"/>
        <v>0</v>
      </c>
    </row>
    <row r="43" spans="1:31" x14ac:dyDescent="0.25">
      <c r="A43" s="36" t="s">
        <v>12</v>
      </c>
      <c r="H43" s="36" t="s">
        <v>12</v>
      </c>
      <c r="J43"/>
      <c r="K43"/>
      <c r="L43"/>
      <c r="M43"/>
      <c r="O43" s="36" t="s">
        <v>12</v>
      </c>
      <c r="P43" s="56"/>
      <c r="Q43" s="56"/>
      <c r="R43" s="56"/>
      <c r="S43" s="56"/>
      <c r="T43" s="56"/>
    </row>
    <row r="44" spans="1:31" x14ac:dyDescent="0.25">
      <c r="A44" s="36" t="s">
        <v>13</v>
      </c>
      <c r="B44">
        <f>P11</f>
        <v>62</v>
      </c>
      <c r="C44">
        <f>AD11</f>
        <v>62</v>
      </c>
      <c r="D44">
        <f>AR11</f>
        <v>62</v>
      </c>
      <c r="E44">
        <f>BF11</f>
        <v>42</v>
      </c>
      <c r="F44">
        <f>BT11</f>
        <v>42</v>
      </c>
      <c r="H44" s="36" t="s">
        <v>13</v>
      </c>
      <c r="I44">
        <f>Q11</f>
        <v>124</v>
      </c>
      <c r="J44">
        <f>AE11</f>
        <v>124</v>
      </c>
      <c r="K44">
        <f>AS11</f>
        <v>124</v>
      </c>
      <c r="L44">
        <f>BG11</f>
        <v>84</v>
      </c>
      <c r="M44">
        <f>BU11</f>
        <v>84</v>
      </c>
      <c r="O44" s="36" t="s">
        <v>13</v>
      </c>
      <c r="P44" s="56">
        <f>Y11</f>
        <v>87.911536000000012</v>
      </c>
      <c r="Q44" s="56">
        <f>AM11</f>
        <v>25.558384000000004</v>
      </c>
      <c r="R44" s="56">
        <f>BA11</f>
        <v>80.155584000000019</v>
      </c>
      <c r="S44" s="56">
        <f>BO11</f>
        <v>30.644544000000007</v>
      </c>
      <c r="T44" s="56">
        <f>CC11</f>
        <v>185.98809600000001</v>
      </c>
    </row>
    <row r="45" spans="1:31" x14ac:dyDescent="0.25">
      <c r="A45" s="36" t="s">
        <v>14</v>
      </c>
      <c r="B45">
        <f t="shared" ref="B45:B49" si="111">P12</f>
        <v>62</v>
      </c>
      <c r="C45">
        <f t="shared" ref="C45:C49" si="112">AD12</f>
        <v>62</v>
      </c>
      <c r="D45">
        <f t="shared" ref="D45:D49" si="113">AR12</f>
        <v>62</v>
      </c>
      <c r="E45">
        <f t="shared" ref="E45:E49" si="114">BF12</f>
        <v>42</v>
      </c>
      <c r="F45">
        <f t="shared" ref="F45:F49" si="115">BT12</f>
        <v>42</v>
      </c>
      <c r="H45" s="36" t="s">
        <v>14</v>
      </c>
      <c r="I45">
        <f t="shared" ref="I45:I49" si="116">Q12</f>
        <v>124</v>
      </c>
      <c r="J45">
        <f t="shared" ref="J45:J49" si="117">AE12</f>
        <v>124</v>
      </c>
      <c r="K45">
        <f t="shared" ref="K45:K49" si="118">AS12</f>
        <v>124</v>
      </c>
      <c r="L45">
        <f t="shared" ref="L45:L49" si="119">BG12</f>
        <v>84</v>
      </c>
      <c r="M45">
        <f t="shared" ref="M45:M49" si="120">BU12</f>
        <v>84</v>
      </c>
      <c r="O45" s="36" t="s">
        <v>14</v>
      </c>
      <c r="P45" s="56">
        <f t="shared" ref="P45:P49" si="121">Y12</f>
        <v>87.911536000000012</v>
      </c>
      <c r="Q45" s="56">
        <f t="shared" ref="Q45:Q49" si="122">AM12</f>
        <v>25.558384000000004</v>
      </c>
      <c r="R45" s="56">
        <f t="shared" ref="R45:R49" si="123">BA12</f>
        <v>80.155584000000019</v>
      </c>
      <c r="S45" s="56">
        <f t="shared" ref="S45:S49" si="124">BO12</f>
        <v>30.644544000000007</v>
      </c>
      <c r="T45" s="56">
        <f t="shared" ref="T45:T49" si="125">CC12</f>
        <v>185.98809600000001</v>
      </c>
    </row>
    <row r="46" spans="1:31" x14ac:dyDescent="0.25">
      <c r="A46" s="36" t="s">
        <v>15</v>
      </c>
      <c r="B46">
        <f t="shared" si="111"/>
        <v>62</v>
      </c>
      <c r="C46">
        <f t="shared" si="112"/>
        <v>62</v>
      </c>
      <c r="D46">
        <f t="shared" si="113"/>
        <v>62</v>
      </c>
      <c r="E46">
        <f t="shared" si="114"/>
        <v>42</v>
      </c>
      <c r="F46">
        <f t="shared" si="115"/>
        <v>42</v>
      </c>
      <c r="H46" s="36" t="s">
        <v>15</v>
      </c>
      <c r="I46">
        <f t="shared" si="116"/>
        <v>124</v>
      </c>
      <c r="J46">
        <f t="shared" si="117"/>
        <v>124</v>
      </c>
      <c r="K46">
        <f t="shared" si="118"/>
        <v>124</v>
      </c>
      <c r="L46">
        <f t="shared" si="119"/>
        <v>84</v>
      </c>
      <c r="M46">
        <f t="shared" si="120"/>
        <v>84</v>
      </c>
      <c r="O46" s="36" t="s">
        <v>15</v>
      </c>
      <c r="P46" s="56">
        <f t="shared" si="121"/>
        <v>87.911536000000012</v>
      </c>
      <c r="Q46" s="56">
        <f t="shared" si="122"/>
        <v>25.558384000000004</v>
      </c>
      <c r="R46" s="56">
        <f t="shared" si="123"/>
        <v>80.155584000000019</v>
      </c>
      <c r="S46" s="56">
        <f t="shared" si="124"/>
        <v>30.644544000000007</v>
      </c>
      <c r="T46" s="56">
        <f t="shared" si="125"/>
        <v>185.98809600000001</v>
      </c>
    </row>
    <row r="47" spans="1:31" x14ac:dyDescent="0.25">
      <c r="A47" s="36" t="s">
        <v>16</v>
      </c>
      <c r="B47">
        <f t="shared" si="111"/>
        <v>62</v>
      </c>
      <c r="C47">
        <f t="shared" si="112"/>
        <v>62</v>
      </c>
      <c r="D47">
        <f t="shared" si="113"/>
        <v>62</v>
      </c>
      <c r="E47">
        <f t="shared" si="114"/>
        <v>42</v>
      </c>
      <c r="F47">
        <f t="shared" si="115"/>
        <v>42</v>
      </c>
      <c r="H47" s="36" t="s">
        <v>16</v>
      </c>
      <c r="I47">
        <f t="shared" si="116"/>
        <v>124</v>
      </c>
      <c r="J47">
        <f t="shared" si="117"/>
        <v>124</v>
      </c>
      <c r="K47">
        <f t="shared" si="118"/>
        <v>124</v>
      </c>
      <c r="L47">
        <f t="shared" si="119"/>
        <v>84</v>
      </c>
      <c r="M47">
        <f t="shared" si="120"/>
        <v>84</v>
      </c>
      <c r="O47" s="36" t="s">
        <v>16</v>
      </c>
      <c r="P47" s="56">
        <f t="shared" si="121"/>
        <v>87.911536000000012</v>
      </c>
      <c r="Q47" s="56">
        <f t="shared" si="122"/>
        <v>25.558384000000004</v>
      </c>
      <c r="R47" s="56">
        <f t="shared" si="123"/>
        <v>80.155584000000019</v>
      </c>
      <c r="S47" s="56">
        <f t="shared" si="124"/>
        <v>30.644544000000007</v>
      </c>
      <c r="T47" s="56">
        <f t="shared" si="125"/>
        <v>185.98809600000001</v>
      </c>
    </row>
    <row r="48" spans="1:31" x14ac:dyDescent="0.25">
      <c r="A48" s="36" t="s">
        <v>17</v>
      </c>
      <c r="B48">
        <f t="shared" si="111"/>
        <v>50</v>
      </c>
      <c r="C48">
        <f t="shared" si="112"/>
        <v>50</v>
      </c>
      <c r="D48">
        <f t="shared" si="113"/>
        <v>50</v>
      </c>
      <c r="E48">
        <f t="shared" si="114"/>
        <v>33</v>
      </c>
      <c r="F48">
        <f t="shared" si="115"/>
        <v>33</v>
      </c>
      <c r="H48" s="36" t="s">
        <v>17</v>
      </c>
      <c r="I48">
        <f t="shared" si="116"/>
        <v>100</v>
      </c>
      <c r="J48">
        <f t="shared" si="117"/>
        <v>100</v>
      </c>
      <c r="K48">
        <f t="shared" si="118"/>
        <v>100</v>
      </c>
      <c r="L48">
        <f t="shared" si="119"/>
        <v>66</v>
      </c>
      <c r="M48">
        <f t="shared" si="120"/>
        <v>66</v>
      </c>
      <c r="O48" s="36" t="s">
        <v>17</v>
      </c>
      <c r="P48" s="56">
        <f t="shared" si="121"/>
        <v>70.896400000000014</v>
      </c>
      <c r="Q48" s="56">
        <f t="shared" si="122"/>
        <v>20.611600000000003</v>
      </c>
      <c r="R48" s="56">
        <f t="shared" si="123"/>
        <v>64.641600000000011</v>
      </c>
      <c r="S48" s="56">
        <f t="shared" si="124"/>
        <v>24.077856000000004</v>
      </c>
      <c r="T48" s="56">
        <f t="shared" si="125"/>
        <v>146.13350400000002</v>
      </c>
    </row>
    <row r="49" spans="1:20" x14ac:dyDescent="0.25">
      <c r="A49" s="36" t="s">
        <v>18</v>
      </c>
      <c r="B49">
        <f t="shared" si="111"/>
        <v>40</v>
      </c>
      <c r="C49">
        <f t="shared" si="112"/>
        <v>40</v>
      </c>
      <c r="D49">
        <f t="shared" si="113"/>
        <v>40</v>
      </c>
      <c r="E49">
        <f t="shared" si="114"/>
        <v>27</v>
      </c>
      <c r="F49">
        <f t="shared" si="115"/>
        <v>27</v>
      </c>
      <c r="H49" s="36" t="s">
        <v>18</v>
      </c>
      <c r="I49" s="9">
        <f t="shared" si="116"/>
        <v>80</v>
      </c>
      <c r="J49">
        <f t="shared" si="117"/>
        <v>80</v>
      </c>
      <c r="K49">
        <f t="shared" si="118"/>
        <v>80</v>
      </c>
      <c r="L49">
        <f t="shared" si="119"/>
        <v>54</v>
      </c>
      <c r="M49">
        <f t="shared" si="120"/>
        <v>54</v>
      </c>
      <c r="O49" s="9" t="s">
        <v>18</v>
      </c>
      <c r="P49" s="56">
        <f t="shared" si="121"/>
        <v>56.717120000000008</v>
      </c>
      <c r="Q49" s="56">
        <f t="shared" si="122"/>
        <v>16.489280000000001</v>
      </c>
      <c r="R49" s="56">
        <f t="shared" si="123"/>
        <v>51.713280000000012</v>
      </c>
      <c r="S49" s="56">
        <f t="shared" si="124"/>
        <v>19.700064000000005</v>
      </c>
      <c r="T49" s="56">
        <f t="shared" si="125"/>
        <v>119.563776</v>
      </c>
    </row>
    <row r="51" spans="1:20" x14ac:dyDescent="0.25">
      <c r="A51" s="37"/>
      <c r="B51" s="72" t="s">
        <v>155</v>
      </c>
      <c r="C51" s="72"/>
      <c r="D51" s="72"/>
      <c r="E51" s="72"/>
      <c r="F51" s="40">
        <f>SUM(B53:F64)</f>
        <v>29.311231999999997</v>
      </c>
    </row>
    <row r="52" spans="1:20" x14ac:dyDescent="0.25">
      <c r="A52" s="36" t="s">
        <v>1</v>
      </c>
      <c r="B52" t="s">
        <v>119</v>
      </c>
      <c r="C52" t="s">
        <v>91</v>
      </c>
      <c r="D52" t="s">
        <v>120</v>
      </c>
      <c r="E52" t="s">
        <v>121</v>
      </c>
      <c r="F52" t="s">
        <v>122</v>
      </c>
    </row>
    <row r="53" spans="1:20" x14ac:dyDescent="0.25">
      <c r="A53" s="36" t="s">
        <v>3</v>
      </c>
      <c r="B53">
        <f>AC3</f>
        <v>2.4152400000000003</v>
      </c>
      <c r="C53">
        <f>AQ3</f>
        <v>0.20127000000000003</v>
      </c>
      <c r="D53">
        <f>BE3</f>
        <v>0.20127000000000003</v>
      </c>
      <c r="E53">
        <f>BS3</f>
        <v>0.20127000000000003</v>
      </c>
      <c r="F53">
        <f>CG3</f>
        <v>0.20127000000000003</v>
      </c>
    </row>
    <row r="54" spans="1:20" x14ac:dyDescent="0.25">
      <c r="A54" s="36" t="s">
        <v>4</v>
      </c>
      <c r="B54">
        <f t="shared" ref="B54:B58" si="126">AC4</f>
        <v>3.4519199999999999</v>
      </c>
      <c r="C54">
        <f t="shared" ref="C54:C58" si="127">AQ4</f>
        <v>0.18168000000000001</v>
      </c>
      <c r="D54">
        <f t="shared" ref="D54:D58" si="128">BE4</f>
        <v>0.18168000000000001</v>
      </c>
      <c r="E54">
        <f t="shared" ref="E54:E58" si="129">BS4</f>
        <v>0.18168000000000001</v>
      </c>
      <c r="F54">
        <f t="shared" ref="F54:F58" si="130">CG4</f>
        <v>0.18168000000000001</v>
      </c>
    </row>
    <row r="55" spans="1:20" x14ac:dyDescent="0.25">
      <c r="A55" s="36" t="s">
        <v>5</v>
      </c>
      <c r="B55">
        <f t="shared" si="126"/>
        <v>3.3113952000000002</v>
      </c>
      <c r="C55">
        <f t="shared" si="127"/>
        <v>0.36793280000000006</v>
      </c>
      <c r="D55">
        <f t="shared" si="128"/>
        <v>0.36793280000000006</v>
      </c>
      <c r="E55">
        <f t="shared" si="129"/>
        <v>0.36793280000000006</v>
      </c>
      <c r="F55">
        <f t="shared" si="130"/>
        <v>0.36793280000000006</v>
      </c>
    </row>
    <row r="56" spans="1:20" x14ac:dyDescent="0.25">
      <c r="A56" s="36" t="s">
        <v>6</v>
      </c>
      <c r="B56">
        <f t="shared" si="126"/>
        <v>2.7621120000000001</v>
      </c>
      <c r="C56">
        <f t="shared" si="127"/>
        <v>0.55242240000000009</v>
      </c>
      <c r="D56">
        <f t="shared" si="128"/>
        <v>0.55242240000000009</v>
      </c>
      <c r="E56">
        <f t="shared" si="129"/>
        <v>0.55242240000000009</v>
      </c>
      <c r="F56">
        <f t="shared" si="130"/>
        <v>0.55242240000000009</v>
      </c>
    </row>
    <row r="57" spans="1:20" x14ac:dyDescent="0.25">
      <c r="A57" s="36" t="s">
        <v>7</v>
      </c>
      <c r="B57">
        <f t="shared" si="126"/>
        <v>0</v>
      </c>
      <c r="C57">
        <f t="shared" si="127"/>
        <v>0</v>
      </c>
      <c r="D57">
        <f t="shared" si="128"/>
        <v>0</v>
      </c>
      <c r="E57">
        <f t="shared" si="129"/>
        <v>0</v>
      </c>
      <c r="F57">
        <f t="shared" si="130"/>
        <v>0</v>
      </c>
    </row>
    <row r="58" spans="1:20" x14ac:dyDescent="0.25">
      <c r="A58" s="36" t="s">
        <v>8</v>
      </c>
      <c r="B58">
        <f t="shared" si="126"/>
        <v>0</v>
      </c>
      <c r="C58">
        <f t="shared" si="127"/>
        <v>0</v>
      </c>
      <c r="D58">
        <f t="shared" si="128"/>
        <v>0</v>
      </c>
      <c r="E58">
        <f t="shared" si="129"/>
        <v>0</v>
      </c>
      <c r="F58">
        <f t="shared" si="130"/>
        <v>0</v>
      </c>
    </row>
    <row r="59" spans="1:20" x14ac:dyDescent="0.25">
      <c r="A59" s="36" t="s">
        <v>12</v>
      </c>
    </row>
    <row r="60" spans="1:20" x14ac:dyDescent="0.25">
      <c r="A60" s="36" t="s">
        <v>13</v>
      </c>
      <c r="B60">
        <f>AC11</f>
        <v>0.6591840000000001</v>
      </c>
      <c r="C60">
        <f>AQ11</f>
        <v>0.6591840000000001</v>
      </c>
      <c r="D60">
        <f>BE11</f>
        <v>0.6591840000000001</v>
      </c>
      <c r="E60">
        <f>BS11</f>
        <v>0.44654400000000005</v>
      </c>
      <c r="F60">
        <f>CG11</f>
        <v>0.44654400000000005</v>
      </c>
    </row>
    <row r="61" spans="1:20" x14ac:dyDescent="0.25">
      <c r="A61" s="36" t="s">
        <v>14</v>
      </c>
      <c r="B61">
        <f t="shared" ref="B61:B65" si="131">AC12</f>
        <v>0.61404800000000004</v>
      </c>
      <c r="C61">
        <f t="shared" ref="C61:C65" si="132">AQ12</f>
        <v>0.61404800000000004</v>
      </c>
      <c r="D61">
        <f t="shared" ref="D61:D65" si="133">BE12</f>
        <v>0.61404800000000004</v>
      </c>
      <c r="E61">
        <f t="shared" ref="E61:E65" si="134">BS12</f>
        <v>0.41596799999999995</v>
      </c>
      <c r="F61">
        <f t="shared" ref="F61:F65" si="135">CG12</f>
        <v>0.41596799999999995</v>
      </c>
    </row>
    <row r="62" spans="1:20" x14ac:dyDescent="0.25">
      <c r="A62" s="36" t="s">
        <v>15</v>
      </c>
      <c r="B62">
        <f t="shared" si="131"/>
        <v>0.57684799999999992</v>
      </c>
      <c r="C62">
        <f t="shared" si="132"/>
        <v>0.57684799999999992</v>
      </c>
      <c r="D62">
        <f t="shared" si="133"/>
        <v>0.57684799999999992</v>
      </c>
      <c r="E62">
        <f t="shared" si="134"/>
        <v>0.39076799999999995</v>
      </c>
      <c r="F62">
        <f t="shared" si="135"/>
        <v>0.39076799999999995</v>
      </c>
    </row>
    <row r="63" spans="1:20" x14ac:dyDescent="0.25">
      <c r="A63" s="36" t="s">
        <v>16</v>
      </c>
      <c r="B63">
        <f t="shared" si="131"/>
        <v>0.53964799999999991</v>
      </c>
      <c r="C63">
        <f t="shared" si="132"/>
        <v>0.53964799999999991</v>
      </c>
      <c r="D63">
        <f t="shared" si="133"/>
        <v>0.53964799999999991</v>
      </c>
      <c r="E63">
        <f t="shared" si="134"/>
        <v>0.365568</v>
      </c>
      <c r="F63">
        <f t="shared" si="135"/>
        <v>0.365568</v>
      </c>
    </row>
    <row r="64" spans="1:20" x14ac:dyDescent="0.25">
      <c r="A64" s="36" t="s">
        <v>17</v>
      </c>
      <c r="B64">
        <f t="shared" si="131"/>
        <v>0.4052</v>
      </c>
      <c r="C64">
        <f t="shared" si="132"/>
        <v>0.4052</v>
      </c>
      <c r="D64">
        <f t="shared" si="133"/>
        <v>0.4052</v>
      </c>
      <c r="E64">
        <f t="shared" si="134"/>
        <v>0.267432</v>
      </c>
      <c r="F64">
        <f t="shared" si="135"/>
        <v>0.267432</v>
      </c>
    </row>
    <row r="65" spans="1:6" x14ac:dyDescent="0.25">
      <c r="A65" s="36" t="s">
        <v>18</v>
      </c>
      <c r="B65">
        <f t="shared" si="131"/>
        <v>0.29760000000000003</v>
      </c>
      <c r="C65">
        <f t="shared" si="132"/>
        <v>0.29760000000000003</v>
      </c>
      <c r="D65">
        <f t="shared" si="133"/>
        <v>0.29760000000000003</v>
      </c>
      <c r="E65">
        <f t="shared" si="134"/>
        <v>0.20088</v>
      </c>
      <c r="F65">
        <f t="shared" si="135"/>
        <v>0.20088</v>
      </c>
    </row>
  </sheetData>
  <mergeCells count="13">
    <mergeCell ref="B51:E51"/>
    <mergeCell ref="BT1:CG1"/>
    <mergeCell ref="I19:L19"/>
    <mergeCell ref="P19:S19"/>
    <mergeCell ref="P35:S35"/>
    <mergeCell ref="B35:E35"/>
    <mergeCell ref="B19:E19"/>
    <mergeCell ref="I35:L35"/>
    <mergeCell ref="J1:O1"/>
    <mergeCell ref="P1:AC1"/>
    <mergeCell ref="AD1:AQ1"/>
    <mergeCell ref="AR1:BE1"/>
    <mergeCell ref="BF1:BS1"/>
  </mergeCells>
  <conditionalFormatting sqref="B21:F33">
    <cfRule type="colorScale" priority="8">
      <colorScale>
        <cfvo type="min"/>
        <cfvo type="percentile" val="50"/>
        <cfvo type="max"/>
        <color rgb="FF008000"/>
        <color rgb="FFFFFF00"/>
        <color rgb="FFFF0000"/>
      </colorScale>
    </cfRule>
  </conditionalFormatting>
  <conditionalFormatting sqref="I21:M33">
    <cfRule type="colorScale" priority="7">
      <colorScale>
        <cfvo type="min"/>
        <cfvo type="percentile" val="50"/>
        <cfvo type="max"/>
        <color rgb="FF008000"/>
        <color rgb="FFFFFF00"/>
        <color rgb="FFFF0000"/>
      </colorScale>
    </cfRule>
  </conditionalFormatting>
  <conditionalFormatting sqref="P21:T33">
    <cfRule type="colorScale" priority="6">
      <colorScale>
        <cfvo type="min"/>
        <cfvo type="percentile" val="50"/>
        <cfvo type="max"/>
        <color rgb="FF008000"/>
        <color rgb="FFFFFF00"/>
        <color rgb="FFFF0000"/>
      </colorScale>
    </cfRule>
  </conditionalFormatting>
  <conditionalFormatting sqref="P37:T49">
    <cfRule type="colorScale" priority="5">
      <colorScale>
        <cfvo type="min"/>
        <cfvo type="percentile" val="50"/>
        <cfvo type="max"/>
        <color rgb="FF008000"/>
        <color rgb="FFFFFF00"/>
        <color rgb="FFFF0000"/>
      </colorScale>
    </cfRule>
  </conditionalFormatting>
  <conditionalFormatting sqref="I37:M49">
    <cfRule type="colorScale" priority="4">
      <colorScale>
        <cfvo type="min"/>
        <cfvo type="percentile" val="50"/>
        <cfvo type="max"/>
        <color rgb="FF008000"/>
        <color rgb="FFFFFF00"/>
        <color rgb="FFFF0000"/>
      </colorScale>
    </cfRule>
  </conditionalFormatting>
  <conditionalFormatting sqref="B37:F42">
    <cfRule type="colorScale" priority="3">
      <colorScale>
        <cfvo type="min"/>
        <cfvo type="percentile" val="50"/>
        <cfvo type="max"/>
        <color rgb="FF008000"/>
        <color rgb="FFFFFF00"/>
        <color rgb="FFFF0000"/>
      </colorScale>
    </cfRule>
  </conditionalFormatting>
  <conditionalFormatting sqref="B44:F49">
    <cfRule type="colorScale" priority="2">
      <colorScale>
        <cfvo type="min"/>
        <cfvo type="percentile" val="50"/>
        <cfvo type="max"/>
        <color rgb="FF008000"/>
        <color rgb="FFFFFF00"/>
        <color rgb="FFFF0000"/>
      </colorScale>
    </cfRule>
  </conditionalFormatting>
  <conditionalFormatting sqref="B53:F65">
    <cfRule type="colorScale" priority="1">
      <colorScale>
        <cfvo type="min"/>
        <cfvo type="percentile" val="50"/>
        <cfvo type="max"/>
        <color rgb="FF008000"/>
        <color rgb="FFFFFF00"/>
        <color rgb="FFFF0000"/>
      </colorScale>
    </cfRule>
  </conditionalFormatting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Variables</vt:lpstr>
      <vt:lpstr>Results</vt:lpstr>
      <vt:lpstr>COUNTUP</vt:lpstr>
      <vt:lpstr>MAT</vt:lpstr>
      <vt:lpstr>MATERIAL</vt:lpstr>
      <vt:lpstr>MATERIALS</vt:lpstr>
      <vt:lpstr>WIRE</vt:lpstr>
      <vt:lpstr>WIREGAUGES</vt:lpstr>
      <vt:lpstr>WIRES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</dc:creator>
  <cp:lastModifiedBy>Ours</cp:lastModifiedBy>
  <dcterms:created xsi:type="dcterms:W3CDTF">2014-11-13T20:16:14Z</dcterms:created>
  <dcterms:modified xsi:type="dcterms:W3CDTF">2014-12-01T09:09:33Z</dcterms:modified>
</cp:coreProperties>
</file>